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Budget\"/>
    </mc:Choice>
  </mc:AlternateContent>
  <bookViews>
    <workbookView xWindow="0" yWindow="0" windowWidth="19365" windowHeight="8445"/>
  </bookViews>
  <sheets>
    <sheet name="Sheet1" sheetId="1" r:id="rId1"/>
    <sheet name="OGB Contributions" sheetId="2" state="hidden" r:id="rId2"/>
  </sheets>
  <definedNames>
    <definedName name="_xlnm._FilterDatabase" localSheetId="0" hidden="1">Sheet1!$A$3:$T$218</definedName>
    <definedName name="_xlnm.Print_Area" localSheetId="0">Sheet1!$F$3:$T$3</definedName>
  </definedNames>
  <calcPr calcId="162913"/>
</workbook>
</file>

<file path=xl/calcChain.xml><?xml version="1.0" encoding="utf-8"?>
<calcChain xmlns="http://schemas.openxmlformats.org/spreadsheetml/2006/main">
  <c r="L130" i="1" l="1"/>
  <c r="O129" i="1"/>
  <c r="O128" i="1"/>
  <c r="O127" i="1"/>
  <c r="L127" i="1"/>
  <c r="L128" i="1"/>
  <c r="L129" i="1"/>
  <c r="P52" i="1"/>
  <c r="Q52" i="1" s="1"/>
  <c r="R52" i="1" s="1"/>
  <c r="O52" i="1"/>
  <c r="N52" i="1"/>
  <c r="G52" i="1"/>
  <c r="P185" i="1"/>
  <c r="Q185" i="1" s="1"/>
  <c r="O185" i="1"/>
  <c r="G185" i="1"/>
  <c r="T52" i="1" l="1"/>
  <c r="M105" i="1"/>
  <c r="L48" i="1"/>
  <c r="C247" i="1" l="1"/>
  <c r="P156" i="1"/>
  <c r="Q156" i="1" s="1"/>
  <c r="L156" i="1"/>
  <c r="O156" i="1" s="1"/>
  <c r="G156" i="1"/>
  <c r="R101" i="1"/>
  <c r="P101" i="1"/>
  <c r="L101" i="1"/>
  <c r="O101" i="1" s="1"/>
  <c r="G101" i="1"/>
  <c r="R201" i="1"/>
  <c r="R195" i="1"/>
  <c r="R167" i="1"/>
  <c r="R162" i="1"/>
  <c r="R160" i="1"/>
  <c r="S87" i="1"/>
  <c r="R87" i="1"/>
  <c r="L42" i="1"/>
  <c r="R57" i="1"/>
  <c r="N101" i="1" l="1"/>
  <c r="T101" i="1" s="1"/>
  <c r="N156" i="1"/>
  <c r="T156" i="1" s="1"/>
  <c r="L102" i="1" l="1"/>
  <c r="T102" i="1" s="1"/>
  <c r="O182" i="1"/>
  <c r="O181" i="1"/>
  <c r="O180" i="1"/>
  <c r="O179" i="1"/>
  <c r="T179" i="1" s="1"/>
  <c r="O178" i="1"/>
  <c r="O177" i="1"/>
  <c r="O176" i="1"/>
  <c r="O175" i="1"/>
  <c r="O174" i="1"/>
  <c r="O173" i="1"/>
  <c r="O172" i="1"/>
  <c r="N182" i="1"/>
  <c r="N181" i="1"/>
  <c r="N180" i="1"/>
  <c r="N179" i="1"/>
  <c r="N178" i="1"/>
  <c r="N177" i="1"/>
  <c r="N176" i="1"/>
  <c r="N175" i="1"/>
  <c r="N174" i="1"/>
  <c r="N173" i="1"/>
  <c r="N172" i="1"/>
  <c r="N84" i="1"/>
  <c r="T84" i="1" s="1"/>
  <c r="N49" i="1"/>
  <c r="T49" i="1" s="1"/>
  <c r="N18" i="1"/>
  <c r="T18" i="1" s="1"/>
  <c r="L95" i="1"/>
  <c r="T95" i="1" s="1"/>
  <c r="T177" i="1" l="1"/>
  <c r="T175" i="1"/>
  <c r="T172" i="1"/>
  <c r="T182" i="1"/>
  <c r="T180" i="1"/>
  <c r="T178" i="1"/>
  <c r="T173" i="1"/>
  <c r="T181" i="1"/>
  <c r="T174" i="1"/>
  <c r="T176" i="1"/>
  <c r="D254" i="1" l="1"/>
  <c r="C258" i="1" l="1"/>
  <c r="C257" i="1"/>
  <c r="C256" i="1"/>
  <c r="C255" i="1"/>
  <c r="C254" i="1"/>
  <c r="C253" i="1"/>
  <c r="C252" i="1"/>
  <c r="C251" i="1"/>
  <c r="C250" i="1"/>
  <c r="C249" i="1"/>
  <c r="C248" i="1"/>
  <c r="C246" i="1"/>
  <c r="C245" i="1"/>
  <c r="C244" i="1"/>
  <c r="C243" i="1"/>
  <c r="C242" i="1"/>
  <c r="C241" i="1"/>
  <c r="C240" i="1"/>
  <c r="C239" i="1"/>
  <c r="C238" i="1"/>
  <c r="C260" i="1" l="1"/>
  <c r="S16" i="1"/>
  <c r="S169" i="1"/>
  <c r="S186" i="1"/>
  <c r="S15" i="1"/>
  <c r="S141" i="1"/>
  <c r="S13" i="1"/>
  <c r="S55" i="1"/>
  <c r="S23" i="1"/>
  <c r="S140" i="1"/>
  <c r="S139" i="1"/>
  <c r="S73" i="1"/>
  <c r="S138" i="1"/>
  <c r="S54" i="1"/>
  <c r="S92" i="1"/>
  <c r="S82" i="1"/>
  <c r="S59" i="1"/>
  <c r="S166" i="1"/>
  <c r="S137" i="1"/>
  <c r="S113" i="1"/>
  <c r="S8" i="1"/>
  <c r="S96" i="1"/>
  <c r="S197" i="1"/>
  <c r="S183" i="1"/>
  <c r="S199" i="1"/>
  <c r="S214" i="1"/>
  <c r="S69" i="1"/>
  <c r="S34" i="1"/>
  <c r="S217" i="1"/>
  <c r="S207" i="1"/>
  <c r="S7" i="1"/>
  <c r="S89" i="1"/>
  <c r="S75" i="1"/>
  <c r="S124" i="1"/>
  <c r="S44" i="1"/>
  <c r="S72" i="1"/>
  <c r="S11" i="1"/>
  <c r="S162" i="1"/>
  <c r="S198" i="1"/>
  <c r="S196" i="1"/>
  <c r="S194" i="1"/>
  <c r="S31" i="1"/>
  <c r="S212" i="1"/>
  <c r="S159" i="1"/>
  <c r="S158" i="1"/>
  <c r="S132" i="1"/>
  <c r="G205" i="1" l="1"/>
  <c r="F170" i="1"/>
  <c r="L170" i="1" s="1"/>
  <c r="F35" i="1"/>
  <c r="L35" i="1" s="1"/>
  <c r="L10" i="1"/>
  <c r="S216" i="1"/>
  <c r="S210" i="1"/>
  <c r="S204" i="1"/>
  <c r="S203" i="1"/>
  <c r="S202" i="1"/>
  <c r="O202" i="1"/>
  <c r="S201" i="1"/>
  <c r="S195" i="1"/>
  <c r="S193" i="1"/>
  <c r="S168" i="1"/>
  <c r="S167" i="1"/>
  <c r="S165" i="1"/>
  <c r="S163" i="1"/>
  <c r="S161" i="1"/>
  <c r="S149" i="1"/>
  <c r="S147" i="1"/>
  <c r="S146" i="1"/>
  <c r="S142" i="1"/>
  <c r="S136" i="1"/>
  <c r="S134" i="1"/>
  <c r="S131" i="1"/>
  <c r="S122" i="1"/>
  <c r="S121" i="1"/>
  <c r="S117" i="1"/>
  <c r="S118" i="1"/>
  <c r="S116" i="1"/>
  <c r="S112" i="1"/>
  <c r="S111" i="1"/>
  <c r="S109" i="1"/>
  <c r="S108" i="1"/>
  <c r="S105" i="1"/>
  <c r="S104" i="1"/>
  <c r="S103" i="1"/>
  <c r="S100" i="1"/>
  <c r="S97" i="1"/>
  <c r="S94" i="1"/>
  <c r="S93" i="1"/>
  <c r="S91" i="1"/>
  <c r="S90" i="1"/>
  <c r="S83" i="1"/>
  <c r="S80" i="1"/>
  <c r="S79" i="1"/>
  <c r="S71" i="1"/>
  <c r="S70" i="1"/>
  <c r="S67" i="1"/>
  <c r="S66" i="1"/>
  <c r="S62" i="1"/>
  <c r="S61" i="1"/>
  <c r="S51" i="1"/>
  <c r="S46" i="1"/>
  <c r="S40" i="1"/>
  <c r="S39" i="1"/>
  <c r="S37" i="1"/>
  <c r="S36" i="1"/>
  <c r="S32" i="1"/>
  <c r="S27" i="1"/>
  <c r="S26" i="1"/>
  <c r="S22" i="1"/>
  <c r="S20" i="1"/>
  <c r="S17" i="1"/>
  <c r="S14" i="1"/>
  <c r="S12" i="1"/>
  <c r="S6" i="1"/>
  <c r="S4" i="1"/>
  <c r="S153" i="1"/>
  <c r="S152" i="1"/>
  <c r="S151" i="1"/>
  <c r="S64" i="1"/>
  <c r="S86" i="1"/>
  <c r="S221" i="1" l="1"/>
  <c r="R129" i="1"/>
  <c r="R128" i="1"/>
  <c r="R127" i="1"/>
  <c r="R126" i="1"/>
  <c r="R125" i="1"/>
  <c r="R99" i="1"/>
  <c r="R74" i="1"/>
  <c r="R53" i="1"/>
  <c r="R48" i="1"/>
  <c r="R42" i="1"/>
  <c r="R35" i="1"/>
  <c r="R24" i="1"/>
  <c r="Q43" i="1"/>
  <c r="Q41" i="1"/>
  <c r="R41" i="1" s="1"/>
  <c r="Q38" i="1"/>
  <c r="R38" i="1" s="1"/>
  <c r="Q21" i="1"/>
  <c r="R21" i="1" s="1"/>
  <c r="Q9" i="1"/>
  <c r="R9" i="1" s="1"/>
  <c r="P10" i="1"/>
  <c r="Q10" i="1" s="1"/>
  <c r="R10" i="1" s="1"/>
  <c r="P16" i="1"/>
  <c r="Q16" i="1" s="1"/>
  <c r="R16" i="1" s="1"/>
  <c r="P15" i="1"/>
  <c r="Q15" i="1" s="1"/>
  <c r="R15" i="1" s="1"/>
  <c r="P14" i="1"/>
  <c r="Q14" i="1" s="1"/>
  <c r="R14" i="1" s="1"/>
  <c r="P13" i="1"/>
  <c r="Q13" i="1" s="1"/>
  <c r="R13" i="1" s="1"/>
  <c r="P12" i="1"/>
  <c r="Q12" i="1" s="1"/>
  <c r="R12" i="1" s="1"/>
  <c r="P11" i="1"/>
  <c r="Q11" i="1" s="1"/>
  <c r="R11" i="1" s="1"/>
  <c r="P8" i="1"/>
  <c r="Q8" i="1" s="1"/>
  <c r="R8" i="1" s="1"/>
  <c r="P7" i="1"/>
  <c r="Q7" i="1" s="1"/>
  <c r="R7" i="1" s="1"/>
  <c r="P6" i="1"/>
  <c r="Q6" i="1" s="1"/>
  <c r="P217" i="1"/>
  <c r="Q217" i="1" s="1"/>
  <c r="R217" i="1" s="1"/>
  <c r="P216" i="1"/>
  <c r="Q216" i="1" s="1"/>
  <c r="R216" i="1" s="1"/>
  <c r="P215" i="1"/>
  <c r="Q215" i="1" s="1"/>
  <c r="R215" i="1" s="1"/>
  <c r="P214" i="1"/>
  <c r="Q214" i="1" s="1"/>
  <c r="R214" i="1" s="1"/>
  <c r="P213" i="1"/>
  <c r="Q213" i="1" s="1"/>
  <c r="R213" i="1" s="1"/>
  <c r="P212" i="1"/>
  <c r="Q212" i="1" s="1"/>
  <c r="R212" i="1" s="1"/>
  <c r="P211" i="1"/>
  <c r="Q211" i="1" s="1"/>
  <c r="R211" i="1" s="1"/>
  <c r="P210" i="1"/>
  <c r="Q210" i="1" s="1"/>
  <c r="R210" i="1" s="1"/>
  <c r="P209" i="1"/>
  <c r="Q209" i="1" s="1"/>
  <c r="R209" i="1" s="1"/>
  <c r="P207" i="1"/>
  <c r="Q207" i="1" s="1"/>
  <c r="R207" i="1" s="1"/>
  <c r="P205" i="1"/>
  <c r="Q205" i="1" s="1"/>
  <c r="P204" i="1"/>
  <c r="Q204" i="1" s="1"/>
  <c r="R204" i="1" s="1"/>
  <c r="P203" i="1"/>
  <c r="Q203" i="1" s="1"/>
  <c r="R203" i="1" s="1"/>
  <c r="P202" i="1"/>
  <c r="Q202" i="1" s="1"/>
  <c r="R202" i="1" s="1"/>
  <c r="P201" i="1"/>
  <c r="Q201" i="1" s="1"/>
  <c r="P200" i="1"/>
  <c r="Q200" i="1" s="1"/>
  <c r="R200" i="1" s="1"/>
  <c r="P199" i="1"/>
  <c r="Q199" i="1" s="1"/>
  <c r="R199" i="1" s="1"/>
  <c r="P198" i="1"/>
  <c r="Q198" i="1" s="1"/>
  <c r="R198" i="1" s="1"/>
  <c r="P197" i="1"/>
  <c r="Q197" i="1" s="1"/>
  <c r="R197" i="1" s="1"/>
  <c r="P196" i="1"/>
  <c r="Q196" i="1" s="1"/>
  <c r="R196" i="1" s="1"/>
  <c r="P195" i="1"/>
  <c r="Q195" i="1" s="1"/>
  <c r="P194" i="1"/>
  <c r="Q194" i="1" s="1"/>
  <c r="R194" i="1" s="1"/>
  <c r="P193" i="1"/>
  <c r="Q193" i="1" s="1"/>
  <c r="R193" i="1" s="1"/>
  <c r="P192" i="1"/>
  <c r="Q192" i="1" s="1"/>
  <c r="R192" i="1" s="1"/>
  <c r="P190" i="1"/>
  <c r="Q190" i="1" s="1"/>
  <c r="P189" i="1"/>
  <c r="Q189" i="1" s="1"/>
  <c r="R189" i="1" s="1"/>
  <c r="P187" i="1"/>
  <c r="Q187" i="1" s="1"/>
  <c r="P186" i="1"/>
  <c r="Q186" i="1" s="1"/>
  <c r="R186" i="1" s="1"/>
  <c r="P184" i="1"/>
  <c r="Q184" i="1" s="1"/>
  <c r="P183" i="1"/>
  <c r="Q183" i="1" s="1"/>
  <c r="R183" i="1" s="1"/>
  <c r="P170" i="1"/>
  <c r="Q170" i="1" s="1"/>
  <c r="P169" i="1"/>
  <c r="Q169" i="1" s="1"/>
  <c r="R169" i="1" s="1"/>
  <c r="P168" i="1"/>
  <c r="Q168" i="1" s="1"/>
  <c r="R168" i="1" s="1"/>
  <c r="P167" i="1"/>
  <c r="Q167" i="1" s="1"/>
  <c r="P166" i="1"/>
  <c r="Q166" i="1" s="1"/>
  <c r="R166" i="1" s="1"/>
  <c r="P165" i="1"/>
  <c r="Q165" i="1" s="1"/>
  <c r="R165" i="1" s="1"/>
  <c r="P163" i="1"/>
  <c r="Q163" i="1" s="1"/>
  <c r="R163" i="1" s="1"/>
  <c r="P162" i="1"/>
  <c r="Q162" i="1" s="1"/>
  <c r="P161" i="1"/>
  <c r="Q161" i="1" s="1"/>
  <c r="R161" i="1" s="1"/>
  <c r="P160" i="1"/>
  <c r="Q160" i="1" s="1"/>
  <c r="P159" i="1"/>
  <c r="Q159" i="1" s="1"/>
  <c r="R159" i="1" s="1"/>
  <c r="P158" i="1"/>
  <c r="Q158" i="1" s="1"/>
  <c r="R158" i="1" s="1"/>
  <c r="P155" i="1"/>
  <c r="Q155" i="1" s="1"/>
  <c r="P154" i="1"/>
  <c r="Q154" i="1" s="1"/>
  <c r="R154" i="1" s="1"/>
  <c r="P153" i="1"/>
  <c r="Q153" i="1" s="1"/>
  <c r="R153" i="1" s="1"/>
  <c r="P152" i="1"/>
  <c r="Q152" i="1" s="1"/>
  <c r="R152" i="1" s="1"/>
  <c r="P151" i="1"/>
  <c r="Q151" i="1" s="1"/>
  <c r="R151" i="1" s="1"/>
  <c r="P149" i="1"/>
  <c r="Q149" i="1" s="1"/>
  <c r="R149" i="1" s="1"/>
  <c r="P148" i="1"/>
  <c r="Q148" i="1" s="1"/>
  <c r="P147" i="1"/>
  <c r="Q147" i="1" s="1"/>
  <c r="R147" i="1" s="1"/>
  <c r="P146" i="1"/>
  <c r="Q146" i="1" s="1"/>
  <c r="R146" i="1" s="1"/>
  <c r="P145" i="1"/>
  <c r="Q145" i="1" s="1"/>
  <c r="P144" i="1"/>
  <c r="Q144" i="1" s="1"/>
  <c r="P142" i="1"/>
  <c r="Q142" i="1" s="1"/>
  <c r="R142" i="1" s="1"/>
  <c r="P141" i="1"/>
  <c r="Q141" i="1" s="1"/>
  <c r="R141" i="1" s="1"/>
  <c r="P140" i="1"/>
  <c r="Q140" i="1" s="1"/>
  <c r="R140" i="1" s="1"/>
  <c r="P139" i="1"/>
  <c r="Q139" i="1" s="1"/>
  <c r="R139" i="1" s="1"/>
  <c r="P138" i="1"/>
  <c r="Q138" i="1" s="1"/>
  <c r="R138" i="1" s="1"/>
  <c r="P137" i="1"/>
  <c r="Q137" i="1" s="1"/>
  <c r="R137" i="1" s="1"/>
  <c r="P136" i="1"/>
  <c r="Q136" i="1" s="1"/>
  <c r="R136" i="1" s="1"/>
  <c r="P135" i="1"/>
  <c r="Q135" i="1" s="1"/>
  <c r="R135" i="1" s="1"/>
  <c r="P134" i="1"/>
  <c r="Q134" i="1" s="1"/>
  <c r="R134" i="1" s="1"/>
  <c r="P133" i="1"/>
  <c r="Q133" i="1" s="1"/>
  <c r="R133" i="1" s="1"/>
  <c r="P132" i="1"/>
  <c r="Q132" i="1" s="1"/>
  <c r="R132" i="1" s="1"/>
  <c r="P131" i="1"/>
  <c r="Q131" i="1" s="1"/>
  <c r="R131" i="1" s="1"/>
  <c r="P129" i="1"/>
  <c r="P128" i="1"/>
  <c r="P127" i="1"/>
  <c r="P126" i="1"/>
  <c r="P125" i="1"/>
  <c r="P124" i="1"/>
  <c r="Q124" i="1" s="1"/>
  <c r="R124" i="1" s="1"/>
  <c r="P122" i="1"/>
  <c r="Q122" i="1" s="1"/>
  <c r="R122" i="1" s="1"/>
  <c r="P121" i="1"/>
  <c r="Q121" i="1" s="1"/>
  <c r="R121" i="1" s="1"/>
  <c r="P120" i="1"/>
  <c r="Q120" i="1" s="1"/>
  <c r="R120" i="1" s="1"/>
  <c r="P119" i="1"/>
  <c r="Q119" i="1" s="1"/>
  <c r="R119" i="1" s="1"/>
  <c r="P118" i="1"/>
  <c r="Q118" i="1" s="1"/>
  <c r="R118" i="1" s="1"/>
  <c r="P117" i="1"/>
  <c r="Q117" i="1" s="1"/>
  <c r="R117" i="1" s="1"/>
  <c r="P116" i="1"/>
  <c r="Q116" i="1" s="1"/>
  <c r="R116" i="1" s="1"/>
  <c r="P115" i="1"/>
  <c r="Q115" i="1" s="1"/>
  <c r="R115" i="1" s="1"/>
  <c r="P114" i="1"/>
  <c r="Q114" i="1" s="1"/>
  <c r="P113" i="1"/>
  <c r="Q113" i="1" s="1"/>
  <c r="R113" i="1" s="1"/>
  <c r="P112" i="1"/>
  <c r="Q112" i="1" s="1"/>
  <c r="R112" i="1" s="1"/>
  <c r="P111" i="1"/>
  <c r="Q111" i="1" s="1"/>
  <c r="R111" i="1" s="1"/>
  <c r="P110" i="1"/>
  <c r="Q110" i="1" s="1"/>
  <c r="R110" i="1" s="1"/>
  <c r="P109" i="1"/>
  <c r="Q109" i="1" s="1"/>
  <c r="R109" i="1" s="1"/>
  <c r="P108" i="1"/>
  <c r="Q108" i="1" s="1"/>
  <c r="R108" i="1" s="1"/>
  <c r="P106" i="1"/>
  <c r="Q106" i="1" s="1"/>
  <c r="P105" i="1"/>
  <c r="Q105" i="1" s="1"/>
  <c r="R105" i="1" s="1"/>
  <c r="P104" i="1"/>
  <c r="Q104" i="1" s="1"/>
  <c r="R104" i="1" s="1"/>
  <c r="P103" i="1"/>
  <c r="Q103" i="1" s="1"/>
  <c r="R103" i="1" s="1"/>
  <c r="P100" i="1"/>
  <c r="Q100" i="1" s="1"/>
  <c r="R100" i="1" s="1"/>
  <c r="P98" i="1"/>
  <c r="Q98" i="1" s="1"/>
  <c r="R98" i="1" s="1"/>
  <c r="P97" i="1"/>
  <c r="Q97" i="1" s="1"/>
  <c r="R97" i="1" s="1"/>
  <c r="P96" i="1"/>
  <c r="Q96" i="1" s="1"/>
  <c r="R96" i="1" s="1"/>
  <c r="P94" i="1"/>
  <c r="Q94" i="1" s="1"/>
  <c r="R94" i="1" s="1"/>
  <c r="P93" i="1"/>
  <c r="Q93" i="1" s="1"/>
  <c r="R93" i="1" s="1"/>
  <c r="P92" i="1"/>
  <c r="Q92" i="1" s="1"/>
  <c r="R92" i="1" s="1"/>
  <c r="P91" i="1"/>
  <c r="Q91" i="1" s="1"/>
  <c r="R91" i="1" s="1"/>
  <c r="P90" i="1"/>
  <c r="Q90" i="1" s="1"/>
  <c r="R90" i="1" s="1"/>
  <c r="P89" i="1"/>
  <c r="Q89" i="1" s="1"/>
  <c r="R89" i="1" s="1"/>
  <c r="P88" i="1"/>
  <c r="Q88" i="1" s="1"/>
  <c r="R88" i="1" s="1"/>
  <c r="P87" i="1"/>
  <c r="Q87" i="1" s="1"/>
  <c r="P86" i="1"/>
  <c r="Q86" i="1" s="1"/>
  <c r="R86" i="1" s="1"/>
  <c r="P83" i="1"/>
  <c r="Q83" i="1" s="1"/>
  <c r="R83" i="1" s="1"/>
  <c r="P82" i="1"/>
  <c r="Q82" i="1" s="1"/>
  <c r="R82" i="1" s="1"/>
  <c r="P81" i="1"/>
  <c r="Q81" i="1" s="1"/>
  <c r="R81" i="1" s="1"/>
  <c r="P80" i="1"/>
  <c r="Q80" i="1" s="1"/>
  <c r="R80" i="1" s="1"/>
  <c r="P79" i="1"/>
  <c r="Q79" i="1" s="1"/>
  <c r="R79" i="1" s="1"/>
  <c r="P78" i="1"/>
  <c r="Q78" i="1" s="1"/>
  <c r="P76" i="1"/>
  <c r="Q76" i="1" s="1"/>
  <c r="P75" i="1"/>
  <c r="Q75" i="1" s="1"/>
  <c r="R75" i="1" s="1"/>
  <c r="P73" i="1"/>
  <c r="Q73" i="1" s="1"/>
  <c r="R73" i="1" s="1"/>
  <c r="P72" i="1"/>
  <c r="Q72" i="1" s="1"/>
  <c r="R72" i="1" s="1"/>
  <c r="P71" i="1"/>
  <c r="Q71" i="1" s="1"/>
  <c r="R71" i="1" s="1"/>
  <c r="P70" i="1"/>
  <c r="Q70" i="1" s="1"/>
  <c r="R70" i="1" s="1"/>
  <c r="P69" i="1"/>
  <c r="Q69" i="1" s="1"/>
  <c r="R69" i="1" s="1"/>
  <c r="P68" i="1"/>
  <c r="Q68" i="1" s="1"/>
  <c r="P67" i="1"/>
  <c r="Q67" i="1" s="1"/>
  <c r="R67" i="1" s="1"/>
  <c r="P66" i="1"/>
  <c r="Q66" i="1" s="1"/>
  <c r="P65" i="1"/>
  <c r="Q65" i="1" s="1"/>
  <c r="P64" i="1"/>
  <c r="Q64" i="1" s="1"/>
  <c r="R64" i="1" s="1"/>
  <c r="P62" i="1"/>
  <c r="Q62" i="1" s="1"/>
  <c r="R62" i="1" s="1"/>
  <c r="P61" i="1"/>
  <c r="Q61" i="1" s="1"/>
  <c r="R61" i="1" s="1"/>
  <c r="P60" i="1"/>
  <c r="Q60" i="1" s="1"/>
  <c r="P59" i="1"/>
  <c r="Q59" i="1" s="1"/>
  <c r="R59" i="1" s="1"/>
  <c r="P58" i="1"/>
  <c r="Q58" i="1" s="1"/>
  <c r="P57" i="1"/>
  <c r="Q57" i="1" s="1"/>
  <c r="P55" i="1"/>
  <c r="Q55" i="1" s="1"/>
  <c r="R55" i="1" s="1"/>
  <c r="P54" i="1"/>
  <c r="Q54" i="1" s="1"/>
  <c r="R54" i="1" s="1"/>
  <c r="P51" i="1"/>
  <c r="Q51" i="1" s="1"/>
  <c r="R51" i="1" s="1"/>
  <c r="P47" i="1"/>
  <c r="Q47" i="1" s="1"/>
  <c r="R47" i="1" s="1"/>
  <c r="P46" i="1"/>
  <c r="Q46" i="1" s="1"/>
  <c r="R46" i="1" s="1"/>
  <c r="P45" i="1"/>
  <c r="Q45" i="1" s="1"/>
  <c r="P44" i="1"/>
  <c r="Q44" i="1" s="1"/>
  <c r="R44" i="1" s="1"/>
  <c r="P40" i="1"/>
  <c r="Q40" i="1" s="1"/>
  <c r="R40" i="1" s="1"/>
  <c r="P39" i="1"/>
  <c r="Q39" i="1" s="1"/>
  <c r="R39" i="1" s="1"/>
  <c r="P37" i="1"/>
  <c r="Q37" i="1" s="1"/>
  <c r="R37" i="1" s="1"/>
  <c r="P36" i="1"/>
  <c r="Q36" i="1" s="1"/>
  <c r="R36" i="1" s="1"/>
  <c r="P34" i="1"/>
  <c r="Q34" i="1" s="1"/>
  <c r="R34" i="1" s="1"/>
  <c r="P33" i="1"/>
  <c r="Q33" i="1" s="1"/>
  <c r="R33" i="1" s="1"/>
  <c r="P32" i="1"/>
  <c r="Q32" i="1" s="1"/>
  <c r="R32" i="1" s="1"/>
  <c r="P31" i="1"/>
  <c r="Q31" i="1" s="1"/>
  <c r="R31" i="1" s="1"/>
  <c r="P30" i="1"/>
  <c r="Q30" i="1" s="1"/>
  <c r="R30" i="1" s="1"/>
  <c r="P28" i="1"/>
  <c r="Q28" i="1" s="1"/>
  <c r="P27" i="1"/>
  <c r="Q27" i="1" s="1"/>
  <c r="R27" i="1" s="1"/>
  <c r="P26" i="1"/>
  <c r="Q26" i="1" s="1"/>
  <c r="R26" i="1" s="1"/>
  <c r="P23" i="1"/>
  <c r="Q23" i="1" s="1"/>
  <c r="R23" i="1" s="1"/>
  <c r="P22" i="1"/>
  <c r="Q22" i="1" s="1"/>
  <c r="R22" i="1" s="1"/>
  <c r="P20" i="1"/>
  <c r="Q20" i="1" s="1"/>
  <c r="R20" i="1" s="1"/>
  <c r="P5" i="1"/>
  <c r="Q5" i="1" s="1"/>
  <c r="P17" i="1"/>
  <c r="Q17" i="1" s="1"/>
  <c r="R17" i="1" s="1"/>
  <c r="P4" i="1"/>
  <c r="Q4" i="1" s="1"/>
  <c r="P156" i="2"/>
  <c r="R6" i="1" l="1"/>
  <c r="R5" i="1"/>
  <c r="R221" i="1" l="1"/>
  <c r="L226" i="1" s="1"/>
  <c r="M204" i="1"/>
  <c r="M193" i="1"/>
  <c r="M154" i="1"/>
  <c r="M149" i="1"/>
  <c r="M131" i="1"/>
  <c r="M96" i="1"/>
  <c r="M99" i="1"/>
  <c r="M82" i="1"/>
  <c r="M81" i="1"/>
  <c r="M40" i="1"/>
  <c r="M141" i="1"/>
  <c r="M133" i="1"/>
  <c r="M121" i="1"/>
  <c r="M112" i="1"/>
  <c r="M68" i="1"/>
  <c r="M66" i="1"/>
  <c r="M47" i="1"/>
  <c r="M45" i="1"/>
  <c r="M16" i="1"/>
  <c r="M38" i="1"/>
  <c r="M5" i="1"/>
  <c r="O217" i="1"/>
  <c r="O216" i="1"/>
  <c r="O215" i="1"/>
  <c r="O214" i="1"/>
  <c r="O213" i="1"/>
  <c r="O212" i="1"/>
  <c r="O211" i="1"/>
  <c r="O210" i="1"/>
  <c r="O209" i="1"/>
  <c r="O207" i="1"/>
  <c r="O204" i="1"/>
  <c r="O203" i="1"/>
  <c r="O201" i="1"/>
  <c r="O200" i="1"/>
  <c r="O199" i="1"/>
  <c r="O198" i="1"/>
  <c r="O197" i="1"/>
  <c r="O196" i="1"/>
  <c r="O195" i="1"/>
  <c r="O194" i="1"/>
  <c r="O193" i="1"/>
  <c r="O192" i="1"/>
  <c r="O190" i="1"/>
  <c r="O189" i="1"/>
  <c r="O187" i="1"/>
  <c r="O186" i="1"/>
  <c r="O184" i="1"/>
  <c r="O183" i="1"/>
  <c r="O165" i="1"/>
  <c r="O170" i="1"/>
  <c r="O169" i="1"/>
  <c r="O167" i="1"/>
  <c r="O166" i="1"/>
  <c r="O163" i="1"/>
  <c r="O162" i="1"/>
  <c r="O161" i="1"/>
  <c r="O160" i="1"/>
  <c r="O159" i="1"/>
  <c r="O158" i="1"/>
  <c r="O155" i="1"/>
  <c r="O154" i="1"/>
  <c r="O153" i="1"/>
  <c r="O152" i="1"/>
  <c r="O151" i="1"/>
  <c r="O149" i="1"/>
  <c r="O148" i="1"/>
  <c r="O147" i="1"/>
  <c r="O146" i="1"/>
  <c r="O145" i="1"/>
  <c r="O144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6" i="1"/>
  <c r="O105" i="1"/>
  <c r="O104" i="1"/>
  <c r="O103" i="1"/>
  <c r="O100" i="1"/>
  <c r="O99" i="1"/>
  <c r="O98" i="1"/>
  <c r="O97" i="1"/>
  <c r="O96" i="1"/>
  <c r="O94" i="1"/>
  <c r="O93" i="1"/>
  <c r="O92" i="1"/>
  <c r="O91" i="1"/>
  <c r="O90" i="1"/>
  <c r="O89" i="1"/>
  <c r="O88" i="1"/>
  <c r="O87" i="1"/>
  <c r="O86" i="1"/>
  <c r="O83" i="1"/>
  <c r="O82" i="1"/>
  <c r="O81" i="1"/>
  <c r="O80" i="1"/>
  <c r="O79" i="1"/>
  <c r="O78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2" i="1"/>
  <c r="O61" i="1"/>
  <c r="O60" i="1"/>
  <c r="O59" i="1"/>
  <c r="O58" i="1"/>
  <c r="O57" i="1"/>
  <c r="O55" i="1"/>
  <c r="O54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4" i="1"/>
  <c r="O28" i="1"/>
  <c r="O24" i="1"/>
  <c r="O23" i="1"/>
  <c r="O22" i="1"/>
  <c r="O21" i="1"/>
  <c r="O20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N217" i="1"/>
  <c r="N216" i="1"/>
  <c r="N215" i="1"/>
  <c r="N214" i="1"/>
  <c r="T214" i="1" s="1"/>
  <c r="N213" i="1"/>
  <c r="T213" i="1" s="1"/>
  <c r="N212" i="1"/>
  <c r="T212" i="1" s="1"/>
  <c r="N211" i="1"/>
  <c r="T211" i="1" s="1"/>
  <c r="N210" i="1"/>
  <c r="N209" i="1"/>
  <c r="N207" i="1"/>
  <c r="N204" i="1"/>
  <c r="N203" i="1"/>
  <c r="N202" i="1"/>
  <c r="T202" i="1" s="1"/>
  <c r="N201" i="1"/>
  <c r="N200" i="1"/>
  <c r="N199" i="1"/>
  <c r="N198" i="1"/>
  <c r="T198" i="1" s="1"/>
  <c r="N197" i="1"/>
  <c r="T197" i="1" s="1"/>
  <c r="N196" i="1"/>
  <c r="N195" i="1"/>
  <c r="T195" i="1" s="1"/>
  <c r="N194" i="1"/>
  <c r="N193" i="1"/>
  <c r="N192" i="1"/>
  <c r="N190" i="1"/>
  <c r="N189" i="1"/>
  <c r="N187" i="1"/>
  <c r="N186" i="1"/>
  <c r="N184" i="1"/>
  <c r="N183" i="1"/>
  <c r="T183" i="1" s="1"/>
  <c r="N170" i="1"/>
  <c r="T170" i="1" s="1"/>
  <c r="N169" i="1"/>
  <c r="T169" i="1" s="1"/>
  <c r="N167" i="1"/>
  <c r="N166" i="1"/>
  <c r="N165" i="1"/>
  <c r="N163" i="1"/>
  <c r="N162" i="1"/>
  <c r="N161" i="1"/>
  <c r="N160" i="1"/>
  <c r="N159" i="1"/>
  <c r="N158" i="1"/>
  <c r="N151" i="1"/>
  <c r="N155" i="1"/>
  <c r="T155" i="1" s="1"/>
  <c r="N154" i="1"/>
  <c r="N153" i="1"/>
  <c r="T153" i="1" s="1"/>
  <c r="N152" i="1"/>
  <c r="N149" i="1"/>
  <c r="N148" i="1"/>
  <c r="N147" i="1"/>
  <c r="N146" i="1"/>
  <c r="N145" i="1"/>
  <c r="N144" i="1"/>
  <c r="N142" i="1"/>
  <c r="T142" i="1" s="1"/>
  <c r="N141" i="1"/>
  <c r="N140" i="1"/>
  <c r="N139" i="1"/>
  <c r="T139" i="1" s="1"/>
  <c r="N138" i="1"/>
  <c r="N137" i="1"/>
  <c r="N136" i="1"/>
  <c r="N135" i="1"/>
  <c r="N134" i="1"/>
  <c r="N133" i="1"/>
  <c r="N132" i="1"/>
  <c r="N131" i="1"/>
  <c r="N129" i="1"/>
  <c r="T129" i="1" s="1"/>
  <c r="N128" i="1"/>
  <c r="N127" i="1"/>
  <c r="N126" i="1"/>
  <c r="T126" i="1" s="1"/>
  <c r="N125" i="1"/>
  <c r="N124" i="1"/>
  <c r="N123" i="1"/>
  <c r="N122" i="1"/>
  <c r="N121" i="1"/>
  <c r="N120" i="1"/>
  <c r="N119" i="1"/>
  <c r="N118" i="1"/>
  <c r="N117" i="1"/>
  <c r="T117" i="1" s="1"/>
  <c r="N116" i="1"/>
  <c r="T116" i="1" s="1"/>
  <c r="N115" i="1"/>
  <c r="N114" i="1"/>
  <c r="T114" i="1" s="1"/>
  <c r="N113" i="1"/>
  <c r="N112" i="1"/>
  <c r="N111" i="1"/>
  <c r="N110" i="1"/>
  <c r="N109" i="1"/>
  <c r="N108" i="1"/>
  <c r="N106" i="1"/>
  <c r="N105" i="1"/>
  <c r="N104" i="1"/>
  <c r="T104" i="1" s="1"/>
  <c r="N103" i="1"/>
  <c r="N100" i="1"/>
  <c r="T100" i="1" s="1"/>
  <c r="N99" i="1"/>
  <c r="N98" i="1"/>
  <c r="N97" i="1"/>
  <c r="N96" i="1"/>
  <c r="N94" i="1"/>
  <c r="N93" i="1"/>
  <c r="N92" i="1"/>
  <c r="N91" i="1"/>
  <c r="N90" i="1"/>
  <c r="N89" i="1"/>
  <c r="T89" i="1" s="1"/>
  <c r="N88" i="1"/>
  <c r="N87" i="1"/>
  <c r="T87" i="1" s="1"/>
  <c r="N86" i="1"/>
  <c r="N78" i="1"/>
  <c r="N83" i="1"/>
  <c r="N82" i="1"/>
  <c r="N81" i="1"/>
  <c r="N80" i="1"/>
  <c r="N79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2" i="1"/>
  <c r="N61" i="1"/>
  <c r="N60" i="1"/>
  <c r="N59" i="1"/>
  <c r="N58" i="1"/>
  <c r="N57" i="1"/>
  <c r="N55" i="1"/>
  <c r="N54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8" i="1"/>
  <c r="N24" i="1"/>
  <c r="N23" i="1"/>
  <c r="N22" i="1"/>
  <c r="N21" i="1"/>
  <c r="N20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K221" i="1"/>
  <c r="L222" i="1" s="1"/>
  <c r="L218" i="1"/>
  <c r="T218" i="1" s="1"/>
  <c r="L208" i="1"/>
  <c r="T208" i="1" s="1"/>
  <c r="L206" i="1"/>
  <c r="T206" i="1" s="1"/>
  <c r="L205" i="1"/>
  <c r="L191" i="1"/>
  <c r="T191" i="1" s="1"/>
  <c r="G134" i="1"/>
  <c r="G190" i="1"/>
  <c r="L188" i="1"/>
  <c r="T188" i="1" s="1"/>
  <c r="G186" i="1"/>
  <c r="G187" i="1"/>
  <c r="L168" i="1"/>
  <c r="G166" i="1"/>
  <c r="G167" i="1"/>
  <c r="T130" i="1"/>
  <c r="L25" i="1"/>
  <c r="T25" i="1" s="1"/>
  <c r="L157" i="1"/>
  <c r="T157" i="1" s="1"/>
  <c r="L150" i="1"/>
  <c r="T150" i="1" s="1"/>
  <c r="L107" i="1"/>
  <c r="T107" i="1" s="1"/>
  <c r="L143" i="1"/>
  <c r="T143" i="1" s="1"/>
  <c r="G129" i="1"/>
  <c r="G127" i="1"/>
  <c r="G126" i="1"/>
  <c r="G125" i="1"/>
  <c r="G87" i="1"/>
  <c r="L85" i="1"/>
  <c r="T85" i="1" s="1"/>
  <c r="L63" i="1"/>
  <c r="T63" i="1" s="1"/>
  <c r="G55" i="1"/>
  <c r="G54" i="1"/>
  <c r="G53" i="1"/>
  <c r="L53" i="1" s="1"/>
  <c r="G51" i="1"/>
  <c r="L51" i="1" s="1"/>
  <c r="L50" i="1"/>
  <c r="T50" i="1" s="1"/>
  <c r="G48" i="1"/>
  <c r="L27" i="1"/>
  <c r="L26" i="1"/>
  <c r="G26" i="1"/>
  <c r="G27" i="1"/>
  <c r="G24" i="1"/>
  <c r="L19" i="1"/>
  <c r="G217" i="1"/>
  <c r="G216" i="1"/>
  <c r="G215" i="1"/>
  <c r="G214" i="1"/>
  <c r="G213" i="1"/>
  <c r="G212" i="1"/>
  <c r="G211" i="1"/>
  <c r="G210" i="1"/>
  <c r="G209" i="1"/>
  <c r="G207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89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69" i="1"/>
  <c r="G168" i="1"/>
  <c r="G165" i="1"/>
  <c r="G163" i="1"/>
  <c r="G162" i="1"/>
  <c r="G161" i="1"/>
  <c r="G160" i="1"/>
  <c r="G159" i="1"/>
  <c r="G158" i="1"/>
  <c r="G155" i="1"/>
  <c r="G154" i="1"/>
  <c r="G153" i="1"/>
  <c r="G152" i="1"/>
  <c r="G151" i="1"/>
  <c r="G149" i="1"/>
  <c r="G148" i="1"/>
  <c r="G147" i="1"/>
  <c r="G146" i="1"/>
  <c r="G145" i="1"/>
  <c r="G144" i="1"/>
  <c r="G142" i="1"/>
  <c r="G141" i="1"/>
  <c r="G140" i="1"/>
  <c r="G139" i="1"/>
  <c r="G138" i="1"/>
  <c r="G137" i="1"/>
  <c r="G136" i="1"/>
  <c r="G135" i="1"/>
  <c r="G133" i="1"/>
  <c r="G132" i="1"/>
  <c r="G131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6" i="1"/>
  <c r="G105" i="1"/>
  <c r="G104" i="1"/>
  <c r="G103" i="1"/>
  <c r="G100" i="1"/>
  <c r="G99" i="1"/>
  <c r="G98" i="1"/>
  <c r="G97" i="1"/>
  <c r="G96" i="1"/>
  <c r="G94" i="1"/>
  <c r="G93" i="1"/>
  <c r="G92" i="1"/>
  <c r="G91" i="1"/>
  <c r="G90" i="1"/>
  <c r="G89" i="1"/>
  <c r="G88" i="1"/>
  <c r="G86" i="1"/>
  <c r="G83" i="1"/>
  <c r="G82" i="1"/>
  <c r="G81" i="1"/>
  <c r="G80" i="1"/>
  <c r="G79" i="1"/>
  <c r="G78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2" i="1"/>
  <c r="G61" i="1"/>
  <c r="G60" i="1"/>
  <c r="G59" i="1"/>
  <c r="G58" i="1"/>
  <c r="G57" i="1"/>
  <c r="G47" i="1"/>
  <c r="G46" i="1"/>
  <c r="G45" i="1"/>
  <c r="G44" i="1"/>
  <c r="G43" i="1"/>
  <c r="G42" i="1"/>
  <c r="G41" i="1"/>
  <c r="G40" i="1"/>
  <c r="G39" i="1"/>
  <c r="G38" i="1"/>
  <c r="G37" i="1"/>
  <c r="G36" i="1"/>
  <c r="G34" i="1"/>
  <c r="G33" i="1"/>
  <c r="G32" i="1"/>
  <c r="G31" i="1"/>
  <c r="G30" i="1"/>
  <c r="G28" i="1"/>
  <c r="G23" i="1"/>
  <c r="G22" i="1"/>
  <c r="G21" i="1"/>
  <c r="G20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T62" i="1" l="1"/>
  <c r="T33" i="1"/>
  <c r="T128" i="1"/>
  <c r="N185" i="1"/>
  <c r="T185" i="1" s="1"/>
  <c r="T151" i="1"/>
  <c r="T35" i="1"/>
  <c r="T65" i="1"/>
  <c r="T75" i="1"/>
  <c r="T90" i="1"/>
  <c r="T105" i="1"/>
  <c r="T20" i="1"/>
  <c r="T36" i="1"/>
  <c r="T48" i="1"/>
  <c r="T76" i="1"/>
  <c r="T7" i="1"/>
  <c r="T21" i="1"/>
  <c r="T8" i="1"/>
  <c r="T22" i="1"/>
  <c r="T152" i="1"/>
  <c r="T10" i="1"/>
  <c r="T23" i="1"/>
  <c r="T194" i="1"/>
  <c r="T210" i="1"/>
  <c r="T108" i="1"/>
  <c r="T217" i="1"/>
  <c r="T160" i="1"/>
  <c r="T201" i="1"/>
  <c r="T42" i="1"/>
  <c r="T59" i="1"/>
  <c r="T71" i="1"/>
  <c r="T97" i="1"/>
  <c r="T111" i="1"/>
  <c r="T148" i="1"/>
  <c r="T163" i="1"/>
  <c r="T192" i="1"/>
  <c r="T31" i="1"/>
  <c r="T43" i="1"/>
  <c r="T60" i="1"/>
  <c r="T72" i="1"/>
  <c r="T98" i="1"/>
  <c r="T124" i="1"/>
  <c r="T137" i="1"/>
  <c r="T207" i="1"/>
  <c r="D257" i="1" s="1"/>
  <c r="T93" i="1"/>
  <c r="T39" i="1"/>
  <c r="T136" i="1"/>
  <c r="T57" i="1"/>
  <c r="T120" i="1"/>
  <c r="T146" i="1"/>
  <c r="T187" i="1"/>
  <c r="T30" i="1"/>
  <c r="T123" i="1"/>
  <c r="T58" i="1"/>
  <c r="T69" i="1"/>
  <c r="T94" i="1"/>
  <c r="T109" i="1"/>
  <c r="T134" i="1"/>
  <c r="T147" i="1"/>
  <c r="T161" i="1"/>
  <c r="T165" i="1"/>
  <c r="M221" i="1"/>
  <c r="T37" i="1"/>
  <c r="T54" i="1"/>
  <c r="T67" i="1"/>
  <c r="T91" i="1"/>
  <c r="T106" i="1"/>
  <c r="T118" i="1"/>
  <c r="T144" i="1"/>
  <c r="T158" i="1"/>
  <c r="T11" i="1"/>
  <c r="T24" i="1"/>
  <c r="T14" i="1"/>
  <c r="T83" i="1"/>
  <c r="T190" i="1"/>
  <c r="T78" i="1"/>
  <c r="T34" i="1"/>
  <c r="T46" i="1"/>
  <c r="T64" i="1"/>
  <c r="T74" i="1"/>
  <c r="T88" i="1"/>
  <c r="T103" i="1"/>
  <c r="T115" i="1"/>
  <c r="T127" i="1"/>
  <c r="T140" i="1"/>
  <c r="T196" i="1"/>
  <c r="T19" i="1"/>
  <c r="T216" i="1"/>
  <c r="T133" i="1"/>
  <c r="T141" i="1"/>
  <c r="T5" i="1"/>
  <c r="T184" i="1"/>
  <c r="T199" i="1"/>
  <c r="L164" i="1"/>
  <c r="T164" i="1" s="1"/>
  <c r="T55" i="1"/>
  <c r="T80" i="1"/>
  <c r="T92" i="1"/>
  <c r="T119" i="1"/>
  <c r="T132" i="1"/>
  <c r="T145" i="1"/>
  <c r="T159" i="1"/>
  <c r="T186" i="1"/>
  <c r="T200" i="1"/>
  <c r="T215" i="1"/>
  <c r="T40" i="1"/>
  <c r="T81" i="1"/>
  <c r="T13" i="1"/>
  <c r="T28" i="1"/>
  <c r="T189" i="1"/>
  <c r="T38" i="1"/>
  <c r="T82" i="1"/>
  <c r="N53" i="1"/>
  <c r="T41" i="1"/>
  <c r="T70" i="1"/>
  <c r="T110" i="1"/>
  <c r="T122" i="1"/>
  <c r="T135" i="1"/>
  <c r="T162" i="1"/>
  <c r="T203" i="1"/>
  <c r="T16" i="1"/>
  <c r="T99" i="1"/>
  <c r="T15" i="1"/>
  <c r="T45" i="1"/>
  <c r="T96" i="1"/>
  <c r="T12" i="1"/>
  <c r="L77" i="1"/>
  <c r="T77" i="1" s="1"/>
  <c r="O26" i="1"/>
  <c r="T4" i="1"/>
  <c r="T47" i="1"/>
  <c r="T131" i="1"/>
  <c r="O27" i="1"/>
  <c r="T17" i="1"/>
  <c r="T32" i="1"/>
  <c r="T44" i="1"/>
  <c r="T61" i="1"/>
  <c r="T73" i="1"/>
  <c r="T86" i="1"/>
  <c r="T113" i="1"/>
  <c r="T125" i="1"/>
  <c r="T138" i="1"/>
  <c r="T166" i="1"/>
  <c r="T209" i="1"/>
  <c r="T66" i="1"/>
  <c r="T149" i="1"/>
  <c r="T6" i="1"/>
  <c r="T167" i="1"/>
  <c r="T68" i="1"/>
  <c r="T154" i="1"/>
  <c r="T79" i="1"/>
  <c r="T112" i="1"/>
  <c r="T193" i="1"/>
  <c r="O51" i="1"/>
  <c r="T121" i="1"/>
  <c r="T204" i="1"/>
  <c r="L171" i="1"/>
  <c r="T171" i="1" s="1"/>
  <c r="T9" i="1"/>
  <c r="N205" i="1"/>
  <c r="N26" i="1"/>
  <c r="N27" i="1"/>
  <c r="N51" i="1"/>
  <c r="O168" i="1"/>
  <c r="O53" i="1"/>
  <c r="O205" i="1"/>
  <c r="N168" i="1"/>
  <c r="L29" i="1"/>
  <c r="T29" i="1" s="1"/>
  <c r="L56" i="1"/>
  <c r="T56" i="1" s="1"/>
  <c r="D239" i="1" l="1"/>
  <c r="D256" i="1"/>
  <c r="D242" i="1"/>
  <c r="N221" i="1"/>
  <c r="L225" i="1" s="1"/>
  <c r="L221" i="1"/>
  <c r="L223" i="1" s="1"/>
  <c r="T205" i="1"/>
  <c r="D253" i="1" s="1"/>
  <c r="O221" i="1"/>
  <c r="L224" i="1" s="1"/>
  <c r="D245" i="1"/>
  <c r="D258" i="1"/>
  <c r="D248" i="1"/>
  <c r="D241" i="1"/>
  <c r="T26" i="1"/>
  <c r="D238" i="1"/>
  <c r="D251" i="1"/>
  <c r="D247" i="1"/>
  <c r="T51" i="1"/>
  <c r="D255" i="1"/>
  <c r="D244" i="1"/>
  <c r="D250" i="1"/>
  <c r="T27" i="1"/>
  <c r="T168" i="1"/>
  <c r="D252" i="1" s="1"/>
  <c r="D246" i="1"/>
  <c r="D243" i="1"/>
  <c r="T53" i="1"/>
  <c r="L227" i="1" l="1"/>
  <c r="T221" i="1"/>
  <c r="D240" i="1"/>
  <c r="D249" i="1"/>
  <c r="D260" i="1" l="1"/>
</calcChain>
</file>

<file path=xl/sharedStrings.xml><?xml version="1.0" encoding="utf-8"?>
<sst xmlns="http://schemas.openxmlformats.org/spreadsheetml/2006/main" count="1707" uniqueCount="863">
  <si>
    <t>ACCOUNTING</t>
  </si>
  <si>
    <t>BUDGET ANALYST 3</t>
  </si>
  <si>
    <t>333770</t>
  </si>
  <si>
    <t>AS-615</t>
  </si>
  <si>
    <t>50623158</t>
  </si>
  <si>
    <t>ACCOUNTANT 1</t>
  </si>
  <si>
    <t>CARTER BRUMFIELD JALISACIA</t>
  </si>
  <si>
    <t>361195</t>
  </si>
  <si>
    <t>AS-612</t>
  </si>
  <si>
    <t>50474449</t>
  </si>
  <si>
    <t>ACCOUNTANT ADMIN 4</t>
  </si>
  <si>
    <t>DICKERSON CARLOS</t>
  </si>
  <si>
    <t>320033</t>
  </si>
  <si>
    <t>AS-623</t>
  </si>
  <si>
    <t>50336261</t>
  </si>
  <si>
    <t>HUMAN RESOURCES ANALYST C</t>
  </si>
  <si>
    <t>GEORGE ALICIA</t>
  </si>
  <si>
    <t>150692</t>
  </si>
  <si>
    <t>50561179</t>
  </si>
  <si>
    <t>ACCOUNTANT MANAGER 2</t>
  </si>
  <si>
    <t>HARRINGTON JATIS</t>
  </si>
  <si>
    <t>119246</t>
  </si>
  <si>
    <t>AS-619</t>
  </si>
  <si>
    <t>50336264</t>
  </si>
  <si>
    <t>ACCOUNTANT MANAGER 1</t>
  </si>
  <si>
    <t>AS-618</t>
  </si>
  <si>
    <t>50668636</t>
  </si>
  <si>
    <t>MAYERS MELISSA</t>
  </si>
  <si>
    <t>197347</t>
  </si>
  <si>
    <t>50536824</t>
  </si>
  <si>
    <t>ACCOUNTANT 3</t>
  </si>
  <si>
    <t>MCCOY INGRID</t>
  </si>
  <si>
    <t>320857</t>
  </si>
  <si>
    <t>50308569</t>
  </si>
  <si>
    <t>MUSE JENNELL</t>
  </si>
  <si>
    <t>351095</t>
  </si>
  <si>
    <t>50540863</t>
  </si>
  <si>
    <t>RICHARD DINA</t>
  </si>
  <si>
    <t>290143</t>
  </si>
  <si>
    <t>50666909</t>
  </si>
  <si>
    <t>ACCOUNTANT 4</t>
  </si>
  <si>
    <t>ROBERTS TRACY</t>
  </si>
  <si>
    <t>196312</t>
  </si>
  <si>
    <t>AS-617</t>
  </si>
  <si>
    <t>50308476</t>
  </si>
  <si>
    <t>ROBINSON RAMONA</t>
  </si>
  <si>
    <t>158423</t>
  </si>
  <si>
    <t>50336263</t>
  </si>
  <si>
    <t>ACCOUNTANT 2</t>
  </si>
  <si>
    <t>WATTS CHARMAINE</t>
  </si>
  <si>
    <t>AS-613</t>
  </si>
  <si>
    <t>50333386</t>
  </si>
  <si>
    <t>XU LAN</t>
  </si>
  <si>
    <t>285105</t>
  </si>
  <si>
    <t>50308478</t>
  </si>
  <si>
    <t>ASSET MANAGEMENT</t>
  </si>
  <si>
    <t>COMPLIANCE EXAMINER 3</t>
  </si>
  <si>
    <t>EDMONSTON SYDNEY</t>
  </si>
  <si>
    <t>220276</t>
  </si>
  <si>
    <t>50474653</t>
  </si>
  <si>
    <t>STUDENT</t>
  </si>
  <si>
    <t>KERSHAW BRANDON</t>
  </si>
  <si>
    <t>340392</t>
  </si>
  <si>
    <t>50488176</t>
  </si>
  <si>
    <t>KIMBENG FRANKLINE</t>
  </si>
  <si>
    <t>201635</t>
  </si>
  <si>
    <t>50474652</t>
  </si>
  <si>
    <t>HOUS FIN DEPUTY ADMIN</t>
  </si>
  <si>
    <t>MILTON DIONE</t>
  </si>
  <si>
    <t>84589</t>
  </si>
  <si>
    <t>AS-622</t>
  </si>
  <si>
    <t>50673633</t>
  </si>
  <si>
    <t>HOUSING FINANCE SUPERVISO</t>
  </si>
  <si>
    <t>NAVARRA JOHN</t>
  </si>
  <si>
    <t>313973</t>
  </si>
  <si>
    <t>HOUSING FINANCE SPEC 3</t>
  </si>
  <si>
    <t>SMITH BARBARA</t>
  </si>
  <si>
    <t>50346234</t>
  </si>
  <si>
    <t>BUILDING PLANS EXAMINER 1</t>
  </si>
  <si>
    <t>BOUDREAUX RHETT</t>
  </si>
  <si>
    <t>323876</t>
  </si>
  <si>
    <t>TS-310</t>
  </si>
  <si>
    <t>50400949</t>
  </si>
  <si>
    <t>CARRAWAY RICKY</t>
  </si>
  <si>
    <t>67772</t>
  </si>
  <si>
    <t>50611072</t>
  </si>
  <si>
    <t>ADMIN PROG SPEC C</t>
  </si>
  <si>
    <t>DUNN CHRIS</t>
  </si>
  <si>
    <t>324342</t>
  </si>
  <si>
    <t>50549126</t>
  </si>
  <si>
    <t>DURNIN JOSEPH</t>
  </si>
  <si>
    <t>173218</t>
  </si>
  <si>
    <t>50340128</t>
  </si>
  <si>
    <t>FOLSE TODD</t>
  </si>
  <si>
    <t>227869</t>
  </si>
  <si>
    <t>50580752</t>
  </si>
  <si>
    <t>GAINES KOURTNEY</t>
  </si>
  <si>
    <t>50308618</t>
  </si>
  <si>
    <t>BUILDING PLANS EXAMINER 3</t>
  </si>
  <si>
    <t>HAND CADE</t>
  </si>
  <si>
    <t>345419</t>
  </si>
  <si>
    <t>50386927</t>
  </si>
  <si>
    <t>HEVEY JEFFREY</t>
  </si>
  <si>
    <t>204860</t>
  </si>
  <si>
    <t>50308495</t>
  </si>
  <si>
    <t>HOUS FIN SPEC 1</t>
  </si>
  <si>
    <t>HINES TICOKA</t>
  </si>
  <si>
    <t>169953</t>
  </si>
  <si>
    <t>50474240</t>
  </si>
  <si>
    <t>LEWANDOWSKI PAMELA</t>
  </si>
  <si>
    <t>349204</t>
  </si>
  <si>
    <t>50577522</t>
  </si>
  <si>
    <t>LONDON KEAIRA</t>
  </si>
  <si>
    <t>357869</t>
  </si>
  <si>
    <t>50315798</t>
  </si>
  <si>
    <t>MARQUETTE DAVID</t>
  </si>
  <si>
    <t>314053</t>
  </si>
  <si>
    <t>50308498</t>
  </si>
  <si>
    <t>HOUS FIN MGR</t>
  </si>
  <si>
    <t>RANDALL SEUANA</t>
  </si>
  <si>
    <t>320211</t>
  </si>
  <si>
    <t>50494062</t>
  </si>
  <si>
    <t>SCANLAN JEFFREY</t>
  </si>
  <si>
    <t>362078</t>
  </si>
  <si>
    <t>TS-307</t>
  </si>
  <si>
    <t>ADMIN COORDINATOR 4</t>
  </si>
  <si>
    <t>ST PIERRE KIMBERLY</t>
  </si>
  <si>
    <t>344158</t>
  </si>
  <si>
    <t>AS-611</t>
  </si>
  <si>
    <t>50549314</t>
  </si>
  <si>
    <t>HOUS FIN SPEC2</t>
  </si>
  <si>
    <t>THOMPSON PHILLIP</t>
  </si>
  <si>
    <t>50568074</t>
  </si>
  <si>
    <t>WELLS ANDREA</t>
  </si>
  <si>
    <t>334187</t>
  </si>
  <si>
    <t>50371506</t>
  </si>
  <si>
    <t>WHITE BERNARD</t>
  </si>
  <si>
    <t>351083</t>
  </si>
  <si>
    <t>50571452</t>
  </si>
  <si>
    <t>DISASTER RECOVERY</t>
  </si>
  <si>
    <t>AUSTIN KENNETH</t>
  </si>
  <si>
    <t>361690</t>
  </si>
  <si>
    <t>50480329</t>
  </si>
  <si>
    <t>ADMIN ASSISTANT 4</t>
  </si>
  <si>
    <t>DUKES JAELA</t>
  </si>
  <si>
    <t>362388</t>
  </si>
  <si>
    <t>50480330</t>
  </si>
  <si>
    <t>JOHNSON WHITE JUDY</t>
  </si>
  <si>
    <t>192825</t>
  </si>
  <si>
    <t>50315796</t>
  </si>
  <si>
    <t>LANDINGHAM BRIDGETTE</t>
  </si>
  <si>
    <t>313955</t>
  </si>
  <si>
    <t>50621066</t>
  </si>
  <si>
    <t>MCCRAY MYEISHA</t>
  </si>
  <si>
    <t>338198</t>
  </si>
  <si>
    <t>50315792</t>
  </si>
  <si>
    <t>RODRIGUEZ RAYMOND</t>
  </si>
  <si>
    <t>270725</t>
  </si>
  <si>
    <t>50465487</t>
  </si>
  <si>
    <t>259078</t>
  </si>
  <si>
    <t>50308486</t>
  </si>
  <si>
    <t>ENERGY ASSISTANCE</t>
  </si>
  <si>
    <t>ARMSTEAD DESIREE</t>
  </si>
  <si>
    <t>168678</t>
  </si>
  <si>
    <t>50340126</t>
  </si>
  <si>
    <t>ARMSTRONG JORDAN</t>
  </si>
  <si>
    <t>50665948</t>
  </si>
  <si>
    <t>BREWSTER ASHLEY</t>
  </si>
  <si>
    <t>353501</t>
  </si>
  <si>
    <t>50340127</t>
  </si>
  <si>
    <t>CHAUVIN MITCHEL</t>
  </si>
  <si>
    <t>334200</t>
  </si>
  <si>
    <t>180454</t>
  </si>
  <si>
    <t>GARDNER STEPHEN</t>
  </si>
  <si>
    <t>359595</t>
  </si>
  <si>
    <t>69072</t>
  </si>
  <si>
    <t>HOLMES LAUREN</t>
  </si>
  <si>
    <t>3506</t>
  </si>
  <si>
    <t>50308497</t>
  </si>
  <si>
    <t>HOWARD RANDIESHA</t>
  </si>
  <si>
    <t>359657</t>
  </si>
  <si>
    <t>50308482</t>
  </si>
  <si>
    <t>LEBLANC PRISCILLA</t>
  </si>
  <si>
    <t>313717</t>
  </si>
  <si>
    <t>50478413</t>
  </si>
  <si>
    <t>LEWIS ANGELA</t>
  </si>
  <si>
    <t>330920</t>
  </si>
  <si>
    <t>50315795</t>
  </si>
  <si>
    <t>MCGEE BRIDGET</t>
  </si>
  <si>
    <t>175190</t>
  </si>
  <si>
    <t>50308559</t>
  </si>
  <si>
    <t>MCQUAIRTER CAROLYN</t>
  </si>
  <si>
    <t>134751</t>
  </si>
  <si>
    <t>50308499</t>
  </si>
  <si>
    <t>MILES RONDA</t>
  </si>
  <si>
    <t>361370</t>
  </si>
  <si>
    <t>50478412</t>
  </si>
  <si>
    <t>OGLESBY COLLETTE</t>
  </si>
  <si>
    <t>153757</t>
  </si>
  <si>
    <t>50540822</t>
  </si>
  <si>
    <t>PEARSON ANGELICA</t>
  </si>
  <si>
    <t>160101</t>
  </si>
  <si>
    <t>50667414</t>
  </si>
  <si>
    <t>STEWART DONNA</t>
  </si>
  <si>
    <t>314657</t>
  </si>
  <si>
    <t>50621714</t>
  </si>
  <si>
    <t>STOETZNER BARBARA</t>
  </si>
  <si>
    <t>283120</t>
  </si>
  <si>
    <t>50607877</t>
  </si>
  <si>
    <t>ENVIRONMENTAL &amp; LABOR COMPLIANCE</t>
  </si>
  <si>
    <t>ENV IMPACT MANAGER 1</t>
  </si>
  <si>
    <t>BRASS AGAHA</t>
  </si>
  <si>
    <t>TS-314</t>
  </si>
  <si>
    <t>50478410</t>
  </si>
  <si>
    <t>ENV IMPACT SPECIALIST 3</t>
  </si>
  <si>
    <t>CHIN SUE</t>
  </si>
  <si>
    <t>357552</t>
  </si>
  <si>
    <t>TS-311</t>
  </si>
  <si>
    <t>50566077</t>
  </si>
  <si>
    <t>FLETCHER SHADAVIS</t>
  </si>
  <si>
    <t>314661</t>
  </si>
  <si>
    <t>50627722</t>
  </si>
  <si>
    <t>ENV IMPACT SPECIALIST 1</t>
  </si>
  <si>
    <t>GLEE SHANNA</t>
  </si>
  <si>
    <t>355587</t>
  </si>
  <si>
    <t>TS-308</t>
  </si>
  <si>
    <t>50553595</t>
  </si>
  <si>
    <t>LAVERGNE AMBER</t>
  </si>
  <si>
    <t>356943</t>
  </si>
  <si>
    <t>50668763</t>
  </si>
  <si>
    <t>REDLER MICHELLE</t>
  </si>
  <si>
    <t>356316</t>
  </si>
  <si>
    <t>50667706</t>
  </si>
  <si>
    <t>EXECUTIVE ADMINISTRATION</t>
  </si>
  <si>
    <t>CONFIDENTIAL ASST</t>
  </si>
  <si>
    <t>BROOKS BARRY</t>
  </si>
  <si>
    <t>28280</t>
  </si>
  <si>
    <t>UNCL-REG</t>
  </si>
  <si>
    <t>50361437</t>
  </si>
  <si>
    <t>ADMIN ASSISTANT 6</t>
  </si>
  <si>
    <t>DECULUS DONNA</t>
  </si>
  <si>
    <t>347424</t>
  </si>
  <si>
    <t>AS-614</t>
  </si>
  <si>
    <t>50640722</t>
  </si>
  <si>
    <t>CHIEF OPERATING OFFICER</t>
  </si>
  <si>
    <t>EVANS BRENDA</t>
  </si>
  <si>
    <t>133917</t>
  </si>
  <si>
    <t>50450643</t>
  </si>
  <si>
    <t>EXECUTIVE MANAGEMENT OFFI</t>
  </si>
  <si>
    <t>FIELDS DARLENE</t>
  </si>
  <si>
    <t>131855</t>
  </si>
  <si>
    <t>50403354</t>
  </si>
  <si>
    <t>JOSEPH NATASHA</t>
  </si>
  <si>
    <t>242063</t>
  </si>
  <si>
    <t>50468978</t>
  </si>
  <si>
    <t>ADMIN ASSISTANT 5</t>
  </si>
  <si>
    <t>JOSHUA DENISA</t>
  </si>
  <si>
    <t>327863</t>
  </si>
  <si>
    <t>50356788</t>
  </si>
  <si>
    <t>DIRECTOR</t>
  </si>
  <si>
    <t>LEWIS JARVIS</t>
  </si>
  <si>
    <t>347361</t>
  </si>
  <si>
    <t>50643296</t>
  </si>
  <si>
    <t>ADMINISTRATOR</t>
  </si>
  <si>
    <t>RUSSELL LOUIS</t>
  </si>
  <si>
    <t>174670</t>
  </si>
  <si>
    <t>50643295</t>
  </si>
  <si>
    <t>EXEC DIRECTOR</t>
  </si>
  <si>
    <t>WILLMAN MARJORIANNA</t>
  </si>
  <si>
    <t>114702</t>
  </si>
  <si>
    <t>50308469</t>
  </si>
  <si>
    <t>FACILITIES MANAGEMENT</t>
  </si>
  <si>
    <t>ADMIN COORDINATOR 3</t>
  </si>
  <si>
    <t>GRIFFIN KENDRA</t>
  </si>
  <si>
    <t>355830</t>
  </si>
  <si>
    <t>AS-609</t>
  </si>
  <si>
    <t>50313691</t>
  </si>
  <si>
    <t>MAINTENANCE REPAIRER 1</t>
  </si>
  <si>
    <t>NORMAN JOSEPH</t>
  </si>
  <si>
    <t>352501</t>
  </si>
  <si>
    <t>WS-210</t>
  </si>
  <si>
    <t>50535367</t>
  </si>
  <si>
    <t>ADMIN PROG SPEC A</t>
  </si>
  <si>
    <t>PERKINS MARVA</t>
  </si>
  <si>
    <t>114313</t>
  </si>
  <si>
    <t>50676126</t>
  </si>
  <si>
    <t>ADMIN COORDINATOR 2</t>
  </si>
  <si>
    <t>RUCKER SAMIRA</t>
  </si>
  <si>
    <t>359913</t>
  </si>
  <si>
    <t>AS-607</t>
  </si>
  <si>
    <t>50308471</t>
  </si>
  <si>
    <t>ADMIN PROGRAM MANAGER 2</t>
  </si>
  <si>
    <t>WILSON JUON</t>
  </si>
  <si>
    <t>134107</t>
  </si>
  <si>
    <t>50468924</t>
  </si>
  <si>
    <t>HOME</t>
  </si>
  <si>
    <t>BATES THOMAS</t>
  </si>
  <si>
    <t>271592</t>
  </si>
  <si>
    <t>50668776</t>
  </si>
  <si>
    <t>BILLINGSLEY DANAE</t>
  </si>
  <si>
    <t>33733</t>
  </si>
  <si>
    <t>50351602</t>
  </si>
  <si>
    <t>JOHNSON PAUL</t>
  </si>
  <si>
    <t>331551</t>
  </si>
  <si>
    <t>50315791</t>
  </si>
  <si>
    <t>MCNEESE ROBERT</t>
  </si>
  <si>
    <t>227059</t>
  </si>
  <si>
    <t>50308491</t>
  </si>
  <si>
    <t>HOMELESSNESS</t>
  </si>
  <si>
    <t>BURNS BRETT</t>
  </si>
  <si>
    <t>345421</t>
  </si>
  <si>
    <t>50572364</t>
  </si>
  <si>
    <t>ADMIN PROG SPEC B</t>
  </si>
  <si>
    <t>BUTLER JAMES</t>
  </si>
  <si>
    <t>334119</t>
  </si>
  <si>
    <t>50466998</t>
  </si>
  <si>
    <t>CONNOR WINONA</t>
  </si>
  <si>
    <t>269463</t>
  </si>
  <si>
    <t>50465486</t>
  </si>
  <si>
    <t>DAVIS ANGELA</t>
  </si>
  <si>
    <t>270720</t>
  </si>
  <si>
    <t>50664252</t>
  </si>
  <si>
    <t>DIETZ ANDREW</t>
  </si>
  <si>
    <t>353503</t>
  </si>
  <si>
    <t>50558336</t>
  </si>
  <si>
    <t>HOGAN KELLY</t>
  </si>
  <si>
    <t>200908</t>
  </si>
  <si>
    <t>50478423</t>
  </si>
  <si>
    <t>HUGHES DARLENE</t>
  </si>
  <si>
    <t>357601</t>
  </si>
  <si>
    <t>50319909</t>
  </si>
  <si>
    <t>JOHNSON VICTORIA</t>
  </si>
  <si>
    <t>332408</t>
  </si>
  <si>
    <t>50361690</t>
  </si>
  <si>
    <t>BUSINESS TECHNOLOGY ANALY</t>
  </si>
  <si>
    <t>JONES TONI</t>
  </si>
  <si>
    <t>354684</t>
  </si>
  <si>
    <t>TS-313</t>
  </si>
  <si>
    <t>50666871</t>
  </si>
  <si>
    <t>KEMBER KIMBERLY</t>
  </si>
  <si>
    <t>357412</t>
  </si>
  <si>
    <t>50376137</t>
  </si>
  <si>
    <t>LACY VONETTA</t>
  </si>
  <si>
    <t>155023</t>
  </si>
  <si>
    <t>50361693</t>
  </si>
  <si>
    <t>LEBLANC AIMEE</t>
  </si>
  <si>
    <t>269429</t>
  </si>
  <si>
    <t>50482086</t>
  </si>
  <si>
    <t>MCCARTER JOANNE</t>
  </si>
  <si>
    <t>129123</t>
  </si>
  <si>
    <t>50617371</t>
  </si>
  <si>
    <t>NORMAN JESSICA</t>
  </si>
  <si>
    <t>346712</t>
  </si>
  <si>
    <t>50593311</t>
  </si>
  <si>
    <t>PATTERSON CARRIE</t>
  </si>
  <si>
    <t>332588</t>
  </si>
  <si>
    <t>50465621</t>
  </si>
  <si>
    <t>RAYFORD ERICA</t>
  </si>
  <si>
    <t>361513</t>
  </si>
  <si>
    <t>50361692</t>
  </si>
  <si>
    <t>STEPHENSON DE'VAN</t>
  </si>
  <si>
    <t>309946</t>
  </si>
  <si>
    <t>50667236</t>
  </si>
  <si>
    <t>HOMEOWNERSHIP</t>
  </si>
  <si>
    <t>MARKETING REP 1</t>
  </si>
  <si>
    <t>ALEXANDER DEXTER</t>
  </si>
  <si>
    <t>356831</t>
  </si>
  <si>
    <t>50457541</t>
  </si>
  <si>
    <t>ANDREWS SONJA</t>
  </si>
  <si>
    <t>156749</t>
  </si>
  <si>
    <t>50372150</t>
  </si>
  <si>
    <t>DAVIS SARAH</t>
  </si>
  <si>
    <t>236320</t>
  </si>
  <si>
    <t>50575723</t>
  </si>
  <si>
    <t>MARKETING REP SUPV</t>
  </si>
  <si>
    <t>DUGGAN DANIEL</t>
  </si>
  <si>
    <t>342491</t>
  </si>
  <si>
    <t>50617420</t>
  </si>
  <si>
    <t>HALE TERRY</t>
  </si>
  <si>
    <t>327343</t>
  </si>
  <si>
    <t>50575344</t>
  </si>
  <si>
    <t>HENDERSON CODY</t>
  </si>
  <si>
    <t>208920</t>
  </si>
  <si>
    <t>50308501</t>
  </si>
  <si>
    <t>JENKINS SHANNON</t>
  </si>
  <si>
    <t>327833</t>
  </si>
  <si>
    <t>50371864</t>
  </si>
  <si>
    <t>MCCLEARY KEVIN</t>
  </si>
  <si>
    <t>340899</t>
  </si>
  <si>
    <t>50636607</t>
  </si>
  <si>
    <t>MEILLEUR MONICA</t>
  </si>
  <si>
    <t>351665</t>
  </si>
  <si>
    <t>50356962</t>
  </si>
  <si>
    <t>RACHAL SHARONDA</t>
  </si>
  <si>
    <t>155303</t>
  </si>
  <si>
    <t>50563044</t>
  </si>
  <si>
    <t>ROBERTS BIANCA</t>
  </si>
  <si>
    <t>359237</t>
  </si>
  <si>
    <t>50465627</t>
  </si>
  <si>
    <t>WOODS KELYA</t>
  </si>
  <si>
    <t>276108</t>
  </si>
  <si>
    <t>50372176</t>
  </si>
  <si>
    <t>HOUSING DEVELOPMENT</t>
  </si>
  <si>
    <t>BELL TANETTRA</t>
  </si>
  <si>
    <t>293810</t>
  </si>
  <si>
    <t>50539952</t>
  </si>
  <si>
    <t>BUCHHOLZ RICHARD</t>
  </si>
  <si>
    <t>147606</t>
  </si>
  <si>
    <t>50308504</t>
  </si>
  <si>
    <t>DENNIS JR LIONEL</t>
  </si>
  <si>
    <t>281849</t>
  </si>
  <si>
    <t>50580797</t>
  </si>
  <si>
    <t>FIELDS SANDRA</t>
  </si>
  <si>
    <t>25169</t>
  </si>
  <si>
    <t>50640199</t>
  </si>
  <si>
    <t>HALL WENDY</t>
  </si>
  <si>
    <t>MCDONNELL JAMES</t>
  </si>
  <si>
    <t>321799</t>
  </si>
  <si>
    <t>50541411</t>
  </si>
  <si>
    <t>WALKER BELINDA</t>
  </si>
  <si>
    <t>312465</t>
  </si>
  <si>
    <t>50308493</t>
  </si>
  <si>
    <t>HUMAN RESOURCES</t>
  </si>
  <si>
    <t>ACKOURY EVELYN</t>
  </si>
  <si>
    <t>285282</t>
  </si>
  <si>
    <t>50561180</t>
  </si>
  <si>
    <t>ADMIN PROGRAM DIRECTOR 3</t>
  </si>
  <si>
    <t>BLOUNT NAKESLA</t>
  </si>
  <si>
    <t>267739</t>
  </si>
  <si>
    <t>AS-620</t>
  </si>
  <si>
    <t>50308483</t>
  </si>
  <si>
    <t>HOLLIDAY DENIECE</t>
  </si>
  <si>
    <t>342589</t>
  </si>
  <si>
    <t>50618311</t>
  </si>
  <si>
    <t>HUMAN RESOURCES ANALYST B</t>
  </si>
  <si>
    <t>STANLEY CARONDA</t>
  </si>
  <si>
    <t>113650</t>
  </si>
  <si>
    <t>50368908</t>
  </si>
  <si>
    <t>WELLS TREASURE</t>
  </si>
  <si>
    <t>342059</t>
  </si>
  <si>
    <t>50486135</t>
  </si>
  <si>
    <t>INTERNAL AUDIT</t>
  </si>
  <si>
    <t>AUDITOR 4</t>
  </si>
  <si>
    <t>BERTRAND STERLING</t>
  </si>
  <si>
    <t>286699</t>
  </si>
  <si>
    <t>50487820</t>
  </si>
  <si>
    <t>AUDITOR SUPERVISOR</t>
  </si>
  <si>
    <t>BRINGIER HARRIS KONCHETTA</t>
  </si>
  <si>
    <t>144651</t>
  </si>
  <si>
    <t>50332441</t>
  </si>
  <si>
    <t>ESNAULT MONICA</t>
  </si>
  <si>
    <t>118179</t>
  </si>
  <si>
    <t>50669777</t>
  </si>
  <si>
    <t>AUDITOR 3</t>
  </si>
  <si>
    <t>HERNANDEZ NORMA</t>
  </si>
  <si>
    <t>359047</t>
  </si>
  <si>
    <t>50669779</t>
  </si>
  <si>
    <t>AUDIT DIRECTOR 2</t>
  </si>
  <si>
    <t>MATHIS COLLETTE</t>
  </si>
  <si>
    <t>161072</t>
  </si>
  <si>
    <t>50370933</t>
  </si>
  <si>
    <t>RICHARD SHANTEL</t>
  </si>
  <si>
    <t>342897</t>
  </si>
  <si>
    <t>50669778</t>
  </si>
  <si>
    <t>LEGAL SERVICES</t>
  </si>
  <si>
    <t>BOWIE MIRIAM</t>
  </si>
  <si>
    <t>309273</t>
  </si>
  <si>
    <t>50308470</t>
  </si>
  <si>
    <t>ATTORNEY 4</t>
  </si>
  <si>
    <t>RICHARD BRIDGETTE</t>
  </si>
  <si>
    <t>314058</t>
  </si>
  <si>
    <t>AS-621</t>
  </si>
  <si>
    <t>50368542</t>
  </si>
  <si>
    <t>STRAHAN LESLIE</t>
  </si>
  <si>
    <t>213623</t>
  </si>
  <si>
    <t>ATTORNEY SUPERVISOR</t>
  </si>
  <si>
    <t>WEST PLEZETTA</t>
  </si>
  <si>
    <t>320888</t>
  </si>
  <si>
    <t>50672707</t>
  </si>
  <si>
    <t>LHC BOARD</t>
  </si>
  <si>
    <t>MEM BD OR COMMISS</t>
  </si>
  <si>
    <t>ALFORD JOHN</t>
  </si>
  <si>
    <t>197124</t>
  </si>
  <si>
    <t>50354238</t>
  </si>
  <si>
    <t>DWYER STEPHEN</t>
  </si>
  <si>
    <t>361462</t>
  </si>
  <si>
    <t>50308620</t>
  </si>
  <si>
    <t>HARRELL ALFRED</t>
  </si>
  <si>
    <t>281708</t>
  </si>
  <si>
    <t>50308626</t>
  </si>
  <si>
    <t>HATTIER STEVEN</t>
  </si>
  <si>
    <t>345638</t>
  </si>
  <si>
    <t>50308625</t>
  </si>
  <si>
    <t>JACKSON STEVEN</t>
  </si>
  <si>
    <t>241153</t>
  </si>
  <si>
    <t>50354906</t>
  </si>
  <si>
    <t>MABRY TONYA</t>
  </si>
  <si>
    <t>340444</t>
  </si>
  <si>
    <t>50308621</t>
  </si>
  <si>
    <t>RACK WILLIE</t>
  </si>
  <si>
    <t>297668</t>
  </si>
  <si>
    <t>99999999</t>
  </si>
  <si>
    <t>ROBINSON WILLIE</t>
  </si>
  <si>
    <t>347978</t>
  </si>
  <si>
    <t>50308623</t>
  </si>
  <si>
    <t>VIDRINE JENNIFER</t>
  </si>
  <si>
    <t>297541</t>
  </si>
  <si>
    <t>50308624</t>
  </si>
  <si>
    <t>WILLIAMS BRANDON</t>
  </si>
  <si>
    <t>163267</t>
  </si>
  <si>
    <t>50521458</t>
  </si>
  <si>
    <t>WINDER RICHARD</t>
  </si>
  <si>
    <t>343189</t>
  </si>
  <si>
    <t>50308599</t>
  </si>
  <si>
    <t>POLICY</t>
  </si>
  <si>
    <t>WALKER VICE MICHAEL</t>
  </si>
  <si>
    <t>324307</t>
  </si>
  <si>
    <t>50462763</t>
  </si>
  <si>
    <t>WASHINGTON ALICE</t>
  </si>
  <si>
    <t>2472</t>
  </si>
  <si>
    <t>50532226</t>
  </si>
  <si>
    <t>PUBLIC AFFAIRS</t>
  </si>
  <si>
    <t>PUBLIC INFORMATION OFFICE</t>
  </si>
  <si>
    <t>BIZETTE BREANNE</t>
  </si>
  <si>
    <t>354473</t>
  </si>
  <si>
    <t>50468985</t>
  </si>
  <si>
    <t>RENTAL ASSISTANCE</t>
  </si>
  <si>
    <t>BURNETT DONNA</t>
  </si>
  <si>
    <t>334306</t>
  </si>
  <si>
    <t>50371501</t>
  </si>
  <si>
    <t>CHRISS SHALONDA</t>
  </si>
  <si>
    <t>147862</t>
  </si>
  <si>
    <t>50484679</t>
  </si>
  <si>
    <t>CONEY PORSCHA</t>
  </si>
  <si>
    <t>337564</t>
  </si>
  <si>
    <t>50474242</t>
  </si>
  <si>
    <t>EDWARDS LEOLA</t>
  </si>
  <si>
    <t>148366</t>
  </si>
  <si>
    <t>50474239</t>
  </si>
  <si>
    <t>ELLIS LOKI</t>
  </si>
  <si>
    <t>89062</t>
  </si>
  <si>
    <t>50474233</t>
  </si>
  <si>
    <t>FRANKLIN NATASHA</t>
  </si>
  <si>
    <t>339165</t>
  </si>
  <si>
    <t>50484678</t>
  </si>
  <si>
    <t>HAMPTON PATRICIA</t>
  </si>
  <si>
    <t>41687</t>
  </si>
  <si>
    <t>50474237</t>
  </si>
  <si>
    <t>MARTIN LATONYA</t>
  </si>
  <si>
    <t>279033</t>
  </si>
  <si>
    <t>50575203</t>
  </si>
  <si>
    <t>MYERS JALYNN</t>
  </si>
  <si>
    <t>294996</t>
  </si>
  <si>
    <t>50474238</t>
  </si>
  <si>
    <t>SMART TONIKA</t>
  </si>
  <si>
    <t>203333</t>
  </si>
  <si>
    <t>50649918</t>
  </si>
  <si>
    <t>TERRELL LADRIKA</t>
  </si>
  <si>
    <t>353851</t>
  </si>
  <si>
    <t>50617406</t>
  </si>
  <si>
    <t>WILLIAMS ADRIANNA</t>
  </si>
  <si>
    <t>346923</t>
  </si>
  <si>
    <t>50617417</t>
  </si>
  <si>
    <t>BUDGET ANALYST 1</t>
  </si>
  <si>
    <t>WIMBERLY BENJAMIN</t>
  </si>
  <si>
    <t>354586</t>
  </si>
  <si>
    <t>50553605</t>
  </si>
  <si>
    <t>STRATEGIC INITIATIVES</t>
  </si>
  <si>
    <t>116361</t>
  </si>
  <si>
    <t>50371504</t>
  </si>
  <si>
    <t>POLICY PLANNER 1</t>
  </si>
  <si>
    <t>SHERMAN ALEXIS</t>
  </si>
  <si>
    <t>358687</t>
  </si>
  <si>
    <t>50560018</t>
  </si>
  <si>
    <t>TECHNOLOGY SERVICES</t>
  </si>
  <si>
    <t>IT DIRECTOR</t>
  </si>
  <si>
    <t>AMPIM JOHN</t>
  </si>
  <si>
    <t>162837</t>
  </si>
  <si>
    <t>TS-320</t>
  </si>
  <si>
    <t>50308485</t>
  </si>
  <si>
    <t>ANDRY DANIELLE</t>
  </si>
  <si>
    <t>358468</t>
  </si>
  <si>
    <t>TS-312</t>
  </si>
  <si>
    <t>50630246</t>
  </si>
  <si>
    <t>IT TECHNICAL SUPPORT ANAL</t>
  </si>
  <si>
    <t>BEADLE GARY</t>
  </si>
  <si>
    <t>326355</t>
  </si>
  <si>
    <t>50308484</t>
  </si>
  <si>
    <t>IT SUPERVISOR</t>
  </si>
  <si>
    <t>BROWN RENDELL</t>
  </si>
  <si>
    <t>264418</t>
  </si>
  <si>
    <t>TS-316</t>
  </si>
  <si>
    <t>50383813</t>
  </si>
  <si>
    <t>JACKSON RASHAAD</t>
  </si>
  <si>
    <t>352341</t>
  </si>
  <si>
    <t>50383814</t>
  </si>
  <si>
    <t>JAVIUS BRIDGET</t>
  </si>
  <si>
    <t>339675</t>
  </si>
  <si>
    <t>50331890</t>
  </si>
  <si>
    <t>IT APPLICATIONS DEVELOPER</t>
  </si>
  <si>
    <t>NELSON JAQUINCY</t>
  </si>
  <si>
    <t>282754</t>
  </si>
  <si>
    <t>50336719</t>
  </si>
  <si>
    <t>ROBINSON ANNIE</t>
  </si>
  <si>
    <t>345780</t>
  </si>
  <si>
    <t>50344651</t>
  </si>
  <si>
    <t>312105</t>
  </si>
  <si>
    <t>50310711</t>
  </si>
  <si>
    <t>Organization Unit Text</t>
  </si>
  <si>
    <t>Job Title</t>
  </si>
  <si>
    <t>Personnel Number</t>
  </si>
  <si>
    <t>Hourly rate</t>
  </si>
  <si>
    <t>Pay Scale Group</t>
  </si>
  <si>
    <t>Annual salary</t>
  </si>
  <si>
    <t>Org Unit Code</t>
  </si>
  <si>
    <t>Employee Name</t>
  </si>
  <si>
    <t>Position Number</t>
  </si>
  <si>
    <t>Reallocation</t>
  </si>
  <si>
    <t>Classified</t>
  </si>
  <si>
    <t>Unclassified Regular</t>
  </si>
  <si>
    <t>Board/Comm Appt.</t>
  </si>
  <si>
    <t>Pay Scale Type</t>
  </si>
  <si>
    <t>VACANT</t>
  </si>
  <si>
    <t>Biweekly Amount</t>
  </si>
  <si>
    <t>FTE</t>
  </si>
  <si>
    <t>PERFORMANCE ADJUSTMENTS</t>
  </si>
  <si>
    <t>Unclassified Student</t>
  </si>
  <si>
    <t>HOUSING FINANCE MANAGER</t>
  </si>
  <si>
    <t>HOUSING FINANCE DEPUTY ADMIN</t>
  </si>
  <si>
    <t>CDGB - DR</t>
  </si>
  <si>
    <t xml:space="preserve">COMPLIANCE </t>
  </si>
  <si>
    <t>PREMIUM PAY</t>
  </si>
  <si>
    <t>CONTRACT ADMINISTRATION</t>
  </si>
  <si>
    <t>50315789</t>
  </si>
  <si>
    <t>50371503</t>
  </si>
  <si>
    <t>CHIEF OF STAFF</t>
  </si>
  <si>
    <t>CHAMBERS LESLIE RICARD</t>
  </si>
  <si>
    <t>NEW</t>
  </si>
  <si>
    <t>NEW (COC)</t>
  </si>
  <si>
    <t>NEW (DATA ENTRY)</t>
  </si>
  <si>
    <t>VACANT (OUTREACH)</t>
  </si>
  <si>
    <t>Classified WAE</t>
  </si>
  <si>
    <t>ATTORNEY - GENERAL COUNSEL</t>
  </si>
  <si>
    <t>TOTAL SALARY</t>
  </si>
  <si>
    <t>TOTAL FTEs</t>
  </si>
  <si>
    <t>TOTAL RETIREMENT</t>
  </si>
  <si>
    <t>TOTAL MEDICARE</t>
  </si>
  <si>
    <t>TOTAL HEALTH AND DENTAL</t>
  </si>
  <si>
    <t>GRAND TOTAL</t>
  </si>
  <si>
    <t>LHC Retirement</t>
  </si>
  <si>
    <t>LHC OGB</t>
  </si>
  <si>
    <t>LHC Dental</t>
  </si>
  <si>
    <t>Total</t>
  </si>
  <si>
    <t xml:space="preserve">LHCMedicare </t>
  </si>
  <si>
    <t>Louisiana Housing Corporation</t>
  </si>
  <si>
    <t>FY25 Human Resources Budget by Department</t>
  </si>
  <si>
    <t>FTES</t>
  </si>
  <si>
    <t>SALARIES AND BENEFITS</t>
  </si>
  <si>
    <t>COMPLIANCE</t>
  </si>
  <si>
    <t>ENVIRONMENTAL</t>
  </si>
  <si>
    <t>LEGAL</t>
  </si>
  <si>
    <t>HOMELESSNESS SOLUTIONS</t>
  </si>
  <si>
    <t>FACILITIES OPERATIONS</t>
  </si>
  <si>
    <t>DIASTER</t>
  </si>
  <si>
    <t>EMPLOYEE NAME</t>
  </si>
  <si>
    <t>STATE CONTRIB</t>
  </si>
  <si>
    <t xml:space="preserve">TOTAL CONTRIB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</si>
  <si>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1192.58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</si>
  <si>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871.74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</si>
  <si>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74.00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</si>
  <si>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861.74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</si>
  <si>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546.08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</si>
  <si>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738.86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</si>
  <si>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1073.14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</si>
  <si>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1097.14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</si>
  <si>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465.02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</si>
  <si>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669.02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</si>
  <si>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1053.14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</si>
  <si>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861.74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</si>
  <si>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916.22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</si>
  <si>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1072.58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</si>
  <si>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1005.74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</si>
  <si>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1063.14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</si>
  <si>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1098.58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</si>
  <si>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7.40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</si>
  <si>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871.74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</si>
  <si>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945.74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</si>
  <si>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1988.12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</si>
  <si>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74.00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</si>
  <si>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315.02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</si>
  <si>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705.70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</si>
  <si>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609.42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</si>
  <si>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883.74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</si>
  <si>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1063.14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</si>
  <si>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664.52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</si>
  <si>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752.86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</si>
  <si>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1053.14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</si>
  <si>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879.14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</si>
  <si>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911.18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</si>
  <si>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17.44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</si>
  <si>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871.74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</si>
  <si>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869.14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</si>
  <si>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536.08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</si>
  <si>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1137.14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</si>
  <si>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871.74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</si>
  <si>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896.22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</si>
  <si>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1851.54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</si>
  <si>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134.00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</si>
  <si>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1081.14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</si>
  <si>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871.74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</si>
  <si>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1107.14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</si>
  <si>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861.74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</si>
  <si>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869.14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</si>
  <si>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995.74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</si>
  <si>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1063.14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</si>
  <si>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1978.12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</si>
  <si>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861.74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</si>
  <si>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873.74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</si>
  <si>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891.74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</si>
  <si>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386.80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</si>
  <si>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344.42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</si>
  <si>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9.80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</si>
  <si>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871.74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</si>
  <si>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1102.58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</si>
  <si>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975.74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</si>
  <si>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1073.14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</si>
  <si>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915.74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</si>
  <si>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1942.68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</si>
  <si>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728.86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</si>
  <si>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544.68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</si>
  <si>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1053.14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</si>
  <si>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1072.58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</si>
  <si>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1970.68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</si>
  <si>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17.44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</si>
  <si>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924.22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</si>
  <si>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1083.14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</si>
  <si>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1992.12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</si>
  <si>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915.74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</si>
  <si>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1053.14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</si>
  <si>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</si>
  <si>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936.74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</si>
  <si>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687.96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</si>
  <si>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1102.58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</si>
  <si>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1005.74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</si>
  <si>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1970.12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</si>
  <si>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1102.58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</si>
  <si>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891.74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</si>
  <si>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876.14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</si>
  <si>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554.68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</si>
  <si>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1063.14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</si>
  <si>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876.14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</si>
  <si>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505.02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</si>
  <si>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1137.14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</si>
  <si>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908.22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</si>
  <si>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1078.58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</si>
  <si>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35.44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</si>
  <si>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1102.58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</si>
  <si>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871.74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</si>
  <si>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882.46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</si>
  <si>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915.74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</si>
  <si>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1067.14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</si>
  <si>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935.74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</si>
  <si>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895.70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</si>
  <si>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1005.74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</si>
  <si>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915.74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</si>
  <si>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1107.14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</si>
  <si>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879.74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</si>
  <si>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1085.86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</si>
  <si>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554.68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</si>
  <si>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881.74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</si>
  <si>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875.74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</si>
  <si>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905.74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</si>
  <si>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1865.54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</si>
  <si>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891.74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</si>
  <si>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875.74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</si>
  <si>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1098.58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</si>
  <si>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885.74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</si>
  <si>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1127.14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</si>
  <si>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558.68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</si>
  <si>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1978.12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</si>
  <si>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315.02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</si>
  <si>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1093.14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</si>
  <si>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945.74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</si>
  <si>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1952.68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</si>
  <si>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951.18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</si>
  <si>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346.02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</si>
  <si>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985.74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</si>
  <si>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1063.14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</si>
  <si>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74.00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</si>
  <si>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1066.14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</si>
  <si>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355.02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</si>
  <si>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873.14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</si>
  <si>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19.44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</si>
  <si>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1970.68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</si>
  <si>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315.02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</si>
  <si>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1290.90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</si>
  <si>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1064.34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</si>
  <si>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875.74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</si>
  <si>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738.86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</si>
  <si>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881.74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</si>
  <si>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1900.98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</si>
  <si>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975.74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</si>
  <si>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728.86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</si>
  <si>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861.74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</si>
  <si>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861.74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</si>
  <si>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131967.84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</si>
  <si>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.00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</si>
  <si>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131967.84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</si>
  <si>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131967.84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</si>
  <si>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696.06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</si>
  <si>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4019.78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</si>
  <si>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4019.78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</si>
  <si>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4019.78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</si>
  <si>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1617.02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</si>
  <si>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1617.02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</si>
  <si>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1617.02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</si>
  <si>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1498.78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</si>
  <si>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1498.78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</si>
  <si>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1498.78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</si>
  <si>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973.74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</si>
  <si>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973.74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</si>
  <si>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973.74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</si>
  <si>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4089.54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</si>
  <si>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4089.54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</si>
  <si>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140077.16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</si>
  <si>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140077.16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</si>
  <si>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HAILEY DOMINIQUE</t>
  </si>
  <si>
    <t>JOHNSON JR ALVIN</t>
  </si>
  <si>
    <t>WHITE BERNARD T</t>
  </si>
  <si>
    <t>ESNAULT MONICA T</t>
  </si>
  <si>
    <t>CROSS KRISTIE</t>
  </si>
  <si>
    <t>SENECA ANDREW T</t>
  </si>
  <si>
    <t xml:space="preserve">BERGERON LIZA </t>
  </si>
  <si>
    <t xml:space="preserve">BRIGNAC MARY </t>
  </si>
  <si>
    <t xml:space="preserve">DAVIS KIMBERLY </t>
  </si>
  <si>
    <t xml:space="preserve">EDWARDS LEOLA </t>
  </si>
  <si>
    <t xml:space="preserve">HOLDER CAROL </t>
  </si>
  <si>
    <t xml:space="preserve">JACKSON SMART TONIKA </t>
  </si>
  <si>
    <t xml:space="preserve">JOHNSON DANYELL </t>
  </si>
  <si>
    <t xml:space="preserve">MATHIS COLLETTE </t>
  </si>
  <si>
    <t xml:space="preserve">MCNEMAR JOSHUA </t>
  </si>
  <si>
    <t xml:space="preserve">MILES RONDA </t>
  </si>
  <si>
    <t xml:space="preserve">RICHARD BRIDGETTE </t>
  </si>
  <si>
    <t xml:space="preserve">SHAW JENNIFER </t>
  </si>
  <si>
    <t>Match</t>
  </si>
  <si>
    <t>INDEX</t>
  </si>
  <si>
    <t>WATZKE JR LEON</t>
  </si>
  <si>
    <t>HOUS FIN SUPERVISOR</t>
  </si>
  <si>
    <t>JOURNEE, TONJA</t>
  </si>
  <si>
    <t>ATTORNEY 1</t>
  </si>
  <si>
    <t>MCKARRY GABRIELLE</t>
  </si>
  <si>
    <t>STRADFORD, CHALONDRA</t>
  </si>
  <si>
    <t>FOREMAN, DAKORA</t>
  </si>
  <si>
    <t>HOUSING FINANCE SUPERVISOR</t>
  </si>
  <si>
    <t>LHA (RENTAL ASSISTANCE)</t>
  </si>
  <si>
    <t>-</t>
  </si>
  <si>
    <t>LOUISIANA HOUSING CORPORATION</t>
  </si>
  <si>
    <t>2024 - 2025 PERSONNEL BUDGET</t>
  </si>
  <si>
    <t>HUMAN RESOURCES SPECIALIST</t>
  </si>
  <si>
    <t>ADMIN PROGRAM MANAGER 3</t>
  </si>
  <si>
    <t>5/10//2024</t>
  </si>
  <si>
    <t>LEDET JENNIFER</t>
  </si>
  <si>
    <t>0..00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</si>
</sst>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</numFmts>
  <fonts count="8" x14ac:knownFonts="1">
    <font>
      <sz val="10"/>
      <name val="Cambria"/>
      <family val="1"/>
    </font>
    <font>
      <sz val="10"/>
      <name val="Arial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0"/>
      <name val="Cambria"/>
      <family val="1"/>
    </font>
    <font>
      <b/>
      <sz val="10"/>
      <name val="Cambria"/>
      <family val="1"/>
    </font>
    <font>
      <sz val="10"/>
      <color theme="1"/>
      <name val="Cambria"/>
      <family val="1"/>
    </font>
    <font>
      <b/>
      <sz val="14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 applyBorder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45">
    <xf numFmtId="0" fontId="0" fillId="0" borderId="0" xfId="0" applyAlignment="1">
      <alignment vertical="top"/>
    </xf>
    <xf numFmtId="43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horizontal="right" vertical="top"/>
    </xf>
    <xf numFmtId="2" fontId="4" fillId="0" borderId="0" xfId="0" applyNumberFormat="1" applyFont="1" applyAlignment="1">
      <alignment vertical="top"/>
    </xf>
    <xf numFmtId="14" fontId="4" fillId="0" borderId="0" xfId="0" applyNumberFormat="1" applyFont="1" applyAlignment="1">
      <alignment horizontal="right" vertical="top"/>
    </xf>
    <xf numFmtId="164" fontId="4" fillId="4" borderId="0" xfId="0" applyNumberFormat="1" applyFont="1" applyFill="1" applyAlignment="1">
      <alignment vertical="top"/>
    </xf>
    <xf numFmtId="0" fontId="4" fillId="4" borderId="0" xfId="0" applyFont="1" applyFill="1" applyAlignment="1">
      <alignment vertical="top"/>
    </xf>
    <xf numFmtId="0" fontId="4" fillId="4" borderId="0" xfId="0" applyFont="1" applyFill="1" applyAlignment="1">
      <alignment horizontal="center" vertical="top"/>
    </xf>
    <xf numFmtId="4" fontId="4" fillId="4" borderId="0" xfId="0" applyNumberFormat="1" applyFont="1" applyFill="1" applyAlignment="1">
      <alignment horizontal="right" vertical="top"/>
    </xf>
    <xf numFmtId="43" fontId="4" fillId="4" borderId="0" xfId="0" applyNumberFormat="1" applyFont="1" applyFill="1" applyBorder="1" applyAlignment="1">
      <alignment horizontal="right" vertical="center"/>
    </xf>
    <xf numFmtId="2" fontId="4" fillId="4" borderId="0" xfId="0" applyNumberFormat="1" applyFont="1" applyFill="1" applyAlignment="1">
      <alignment vertical="top"/>
    </xf>
    <xf numFmtId="14" fontId="4" fillId="4" borderId="0" xfId="0" applyNumberFormat="1" applyFont="1" applyFill="1" applyAlignment="1">
      <alignment horizontal="right" vertical="top"/>
    </xf>
    <xf numFmtId="0" fontId="4" fillId="0" borderId="0" xfId="0" applyFont="1" applyBorder="1" applyAlignment="1">
      <alignment vertical="top"/>
    </xf>
    <xf numFmtId="4" fontId="4" fillId="0" borderId="0" xfId="0" applyNumberFormat="1" applyFont="1" applyBorder="1" applyAlignment="1">
      <alignment horizontal="right" vertical="top"/>
    </xf>
    <xf numFmtId="2" fontId="4" fillId="0" borderId="0" xfId="0" applyNumberFormat="1" applyFont="1" applyBorder="1" applyAlignment="1">
      <alignment vertical="top"/>
    </xf>
    <xf numFmtId="14" fontId="4" fillId="0" borderId="0" xfId="0" applyNumberFormat="1" applyFont="1" applyBorder="1" applyAlignment="1">
      <alignment horizontal="right" vertical="top"/>
    </xf>
    <xf numFmtId="0" fontId="4" fillId="4" borderId="0" xfId="0" applyFont="1" applyFill="1" applyBorder="1" applyAlignment="1">
      <alignment vertical="top"/>
    </xf>
    <xf numFmtId="4" fontId="4" fillId="4" borderId="0" xfId="0" applyNumberFormat="1" applyFont="1" applyFill="1" applyBorder="1" applyAlignment="1">
      <alignment horizontal="right" vertical="top"/>
    </xf>
    <xf numFmtId="2" fontId="4" fillId="4" borderId="0" xfId="0" applyNumberFormat="1" applyFont="1" applyFill="1" applyBorder="1" applyAlignment="1">
      <alignment vertical="top"/>
    </xf>
    <xf numFmtId="14" fontId="4" fillId="4" borderId="0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4" fontId="4" fillId="0" borderId="1" xfId="0" applyNumberFormat="1" applyFont="1" applyBorder="1" applyAlignment="1">
      <alignment horizontal="right" vertical="top"/>
    </xf>
    <xf numFmtId="2" fontId="4" fillId="0" borderId="1" xfId="0" applyNumberFormat="1" applyFont="1" applyBorder="1" applyAlignment="1">
      <alignment vertical="top"/>
    </xf>
    <xf numFmtId="14" fontId="4" fillId="0" borderId="1" xfId="0" applyNumberFormat="1" applyFont="1" applyBorder="1" applyAlignment="1">
      <alignment horizontal="right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0" fillId="0" borderId="0" xfId="0"/>
    <xf numFmtId="0" fontId="4" fillId="0" borderId="0" xfId="0" applyFont="1"/>
    <xf numFmtId="2" fontId="4" fillId="0" borderId="0" xfId="0" applyNumberFormat="1" applyFont="1"/>
    <xf numFmtId="43" fontId="4" fillId="0" borderId="1" xfId="0" applyNumberFormat="1" applyFont="1" applyBorder="1" applyAlignment="1">
      <alignment horizontal="right" vertical="center"/>
    </xf>
    <xf numFmtId="164" fontId="4" fillId="4" borderId="0" xfId="0" applyNumberFormat="1" applyFont="1" applyFill="1" applyBorder="1" applyAlignment="1">
      <alignment vertical="top"/>
    </xf>
    <xf numFmtId="0" fontId="4" fillId="4" borderId="0" xfId="0" applyFont="1" applyFill="1" applyBorder="1" applyAlignment="1">
      <alignment vertical="center"/>
    </xf>
    <xf numFmtId="43" fontId="4" fillId="4" borderId="0" xfId="1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center"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0" fontId="0" fillId="4" borderId="0" xfId="0" applyFont="1" applyFill="1" applyAlignment="1">
      <alignment horizontal="center" vertical="top"/>
    </xf>
    <xf numFmtId="0" fontId="4" fillId="3" borderId="0" xfId="0" applyFont="1" applyFill="1" applyAlignment="1">
      <alignment vertical="top"/>
    </xf>
    <xf numFmtId="0" fontId="0" fillId="3" borderId="0" xfId="0" applyFont="1" applyFill="1" applyAlignment="1">
      <alignment vertical="top"/>
    </xf>
    <xf numFmtId="4" fontId="4" fillId="3" borderId="0" xfId="0" applyNumberFormat="1" applyFont="1" applyFill="1" applyAlignment="1">
      <alignment horizontal="right" vertical="top"/>
    </xf>
    <xf numFmtId="43" fontId="4" fillId="3" borderId="0" xfId="0" applyNumberFormat="1" applyFont="1" applyFill="1" applyBorder="1" applyAlignment="1">
      <alignment horizontal="right" vertical="center"/>
    </xf>
    <xf numFmtId="2" fontId="4" fillId="3" borderId="0" xfId="0" applyNumberFormat="1" applyFont="1" applyFill="1" applyAlignment="1">
      <alignment vertical="top"/>
    </xf>
    <xf numFmtId="14" fontId="4" fillId="3" borderId="0" xfId="0" applyNumberFormat="1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4" fillId="3" borderId="0" xfId="0" applyFont="1" applyFill="1" applyBorder="1" applyAlignment="1">
      <alignment vertical="top"/>
    </xf>
    <xf numFmtId="0" fontId="0" fillId="4" borderId="0" xfId="0" applyFont="1" applyFill="1" applyAlignment="1">
      <alignment vertical="top"/>
    </xf>
    <xf numFmtId="0" fontId="0" fillId="4" borderId="0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vertical="top"/>
    </xf>
    <xf numFmtId="0" fontId="0" fillId="4" borderId="0" xfId="0" applyFont="1" applyFill="1" applyBorder="1" applyAlignment="1">
      <alignment horizontal="center" vertical="top"/>
    </xf>
    <xf numFmtId="0" fontId="0" fillId="0" borderId="0" xfId="0" applyFont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10" fontId="4" fillId="0" borderId="0" xfId="0" applyNumberFormat="1" applyFont="1" applyAlignment="1">
      <alignment vertical="top"/>
    </xf>
    <xf numFmtId="44" fontId="4" fillId="0" borderId="0" xfId="2" applyFont="1" applyAlignment="1">
      <alignment vertical="top"/>
    </xf>
    <xf numFmtId="44" fontId="4" fillId="0" borderId="0" xfId="2" applyNumberFormat="1" applyFont="1" applyAlignment="1">
      <alignment vertical="top"/>
    </xf>
    <xf numFmtId="44" fontId="4" fillId="0" borderId="0" xfId="0" applyNumberFormat="1" applyFont="1" applyBorder="1" applyAlignment="1">
      <alignment vertical="top"/>
    </xf>
    <xf numFmtId="44" fontId="4" fillId="0" borderId="0" xfId="0" applyNumberFormat="1" applyFont="1" applyAlignment="1">
      <alignment vertical="top"/>
    </xf>
    <xf numFmtId="44" fontId="4" fillId="4" borderId="0" xfId="0" applyNumberFormat="1" applyFont="1" applyFill="1" applyBorder="1" applyAlignment="1">
      <alignment vertical="top"/>
    </xf>
    <xf numFmtId="44" fontId="4" fillId="0" borderId="0" xfId="2" applyFont="1" applyBorder="1" applyAlignment="1">
      <alignment vertical="top"/>
    </xf>
    <xf numFmtId="44" fontId="4" fillId="4" borderId="0" xfId="2" applyFont="1" applyFill="1" applyBorder="1" applyAlignment="1">
      <alignment vertical="top"/>
    </xf>
    <xf numFmtId="44" fontId="0" fillId="0" borderId="0" xfId="2" applyFont="1" applyBorder="1" applyAlignment="1">
      <alignment vertical="top"/>
    </xf>
    <xf numFmtId="44" fontId="4" fillId="0" borderId="1" xfId="2" applyFont="1" applyBorder="1" applyAlignment="1">
      <alignment vertical="top"/>
    </xf>
    <xf numFmtId="44" fontId="4" fillId="4" borderId="0" xfId="2" applyFont="1" applyFill="1" applyAlignment="1">
      <alignment vertical="top"/>
    </xf>
    <xf numFmtId="44" fontId="4" fillId="0" borderId="0" xfId="2" applyFont="1" applyAlignment="1">
      <alignment horizontal="right" vertical="top"/>
    </xf>
    <xf numFmtId="2" fontId="4" fillId="0" borderId="0" xfId="2" applyNumberFormat="1" applyFont="1" applyAlignment="1">
      <alignment vertical="top"/>
    </xf>
    <xf numFmtId="2" fontId="4" fillId="4" borderId="0" xfId="2" applyNumberFormat="1" applyFont="1" applyFill="1" applyAlignment="1">
      <alignment vertical="top"/>
    </xf>
    <xf numFmtId="0" fontId="0" fillId="0" borderId="0" xfId="0" applyFont="1"/>
    <xf numFmtId="0" fontId="0" fillId="0" borderId="0" xfId="0" applyFont="1" applyBorder="1" applyAlignment="1">
      <alignment horizontal="center" vertical="top"/>
    </xf>
    <xf numFmtId="44" fontId="4" fillId="4" borderId="0" xfId="0" applyNumberFormat="1" applyFont="1" applyFill="1" applyAlignment="1">
      <alignment vertical="top"/>
    </xf>
    <xf numFmtId="0" fontId="0" fillId="0" borderId="0" xfId="0" applyFont="1" applyFill="1" applyAlignment="1">
      <alignment vertical="top"/>
    </xf>
    <xf numFmtId="4" fontId="4" fillId="0" borderId="0" xfId="0" applyNumberFormat="1" applyFont="1" applyFill="1" applyAlignment="1">
      <alignment horizontal="right" vertical="top"/>
    </xf>
    <xf numFmtId="44" fontId="4" fillId="3" borderId="0" xfId="0" applyNumberFormat="1" applyFont="1" applyFill="1" applyBorder="1" applyAlignment="1">
      <alignment vertical="top"/>
    </xf>
    <xf numFmtId="44" fontId="4" fillId="3" borderId="0" xfId="2" applyFont="1" applyFill="1" applyAlignment="1">
      <alignment vertical="top"/>
    </xf>
    <xf numFmtId="2" fontId="4" fillId="3" borderId="0" xfId="2" applyNumberFormat="1" applyFont="1" applyFill="1" applyAlignment="1">
      <alignment vertical="top"/>
    </xf>
    <xf numFmtId="44" fontId="4" fillId="3" borderId="0" xfId="0" applyNumberFormat="1" applyFont="1" applyFill="1" applyAlignment="1">
      <alignment vertical="top"/>
    </xf>
    <xf numFmtId="0" fontId="4" fillId="0" borderId="0" xfId="0" applyFont="1" applyFill="1" applyAlignment="1">
      <alignment vertical="top"/>
    </xf>
    <xf numFmtId="43" fontId="4" fillId="0" borderId="0" xfId="0" applyNumberFormat="1" applyFont="1" applyFill="1" applyBorder="1" applyAlignment="1">
      <alignment horizontal="right" vertical="center"/>
    </xf>
    <xf numFmtId="2" fontId="4" fillId="0" borderId="0" xfId="0" applyNumberFormat="1" applyFont="1" applyFill="1" applyAlignment="1">
      <alignment vertical="top"/>
    </xf>
    <xf numFmtId="14" fontId="4" fillId="0" borderId="0" xfId="0" applyNumberFormat="1" applyFont="1" applyFill="1" applyAlignment="1">
      <alignment horizontal="right" vertical="top"/>
    </xf>
    <xf numFmtId="44" fontId="4" fillId="0" borderId="0" xfId="2" applyFont="1" applyFill="1" applyBorder="1" applyAlignment="1">
      <alignment vertical="top"/>
    </xf>
    <xf numFmtId="44" fontId="4" fillId="0" borderId="0" xfId="0" applyNumberFormat="1" applyFont="1" applyFill="1" applyBorder="1" applyAlignment="1">
      <alignment vertical="top"/>
    </xf>
    <xf numFmtId="2" fontId="4" fillId="0" borderId="0" xfId="2" applyNumberFormat="1" applyFont="1" applyFill="1" applyAlignment="1">
      <alignment vertical="top"/>
    </xf>
    <xf numFmtId="44" fontId="4" fillId="0" borderId="0" xfId="2" applyFont="1" applyFill="1" applyAlignment="1">
      <alignment vertical="top"/>
    </xf>
    <xf numFmtId="44" fontId="4" fillId="0" borderId="0" xfId="0" applyNumberFormat="1" applyFont="1" applyFill="1" applyAlignment="1">
      <alignment vertical="top"/>
    </xf>
    <xf numFmtId="0" fontId="0" fillId="0" borderId="0" xfId="0" quotePrefix="1" applyFill="1" applyBorder="1"/>
    <xf numFmtId="0" fontId="0" fillId="0" borderId="0" xfId="0" applyFill="1" applyBorder="1"/>
    <xf numFmtId="0" fontId="0" fillId="0" borderId="0" xfId="0" applyFill="1"/>
    <xf numFmtId="2" fontId="0" fillId="0" borderId="0" xfId="0" applyNumberFormat="1" applyFill="1" applyBorder="1"/>
    <xf numFmtId="44" fontId="4" fillId="3" borderId="0" xfId="2" applyFont="1" applyFill="1" applyBorder="1" applyAlignment="1">
      <alignment vertical="top"/>
    </xf>
    <xf numFmtId="164" fontId="4" fillId="0" borderId="0" xfId="0" applyNumberFormat="1" applyFont="1" applyFill="1" applyAlignment="1">
      <alignment vertical="top"/>
    </xf>
    <xf numFmtId="0" fontId="0" fillId="0" borderId="0" xfId="0" applyFont="1" applyFill="1" applyAlignment="1">
      <alignment horizontal="left" vertical="top"/>
    </xf>
    <xf numFmtId="44" fontId="4" fillId="0" borderId="0" xfId="2" applyNumberFormat="1" applyFont="1" applyFill="1" applyAlignment="1">
      <alignment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1" fontId="4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left" vertical="top"/>
    </xf>
    <xf numFmtId="44" fontId="0" fillId="4" borderId="0" xfId="0" applyNumberFormat="1" applyFont="1" applyFill="1" applyAlignment="1">
      <alignment vertical="top"/>
    </xf>
    <xf numFmtId="0" fontId="4" fillId="4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44" fontId="4" fillId="0" borderId="1" xfId="2" applyFont="1" applyFill="1" applyBorder="1" applyAlignment="1">
      <alignment vertical="top"/>
    </xf>
    <xf numFmtId="164" fontId="6" fillId="0" borderId="0" xfId="3" applyNumberFormat="1" applyFont="1" applyFill="1" applyAlignment="1">
      <alignment vertical="top"/>
    </xf>
    <xf numFmtId="0" fontId="6" fillId="0" borderId="0" xfId="3" applyFont="1" applyFill="1" applyAlignment="1">
      <alignment vertical="top"/>
    </xf>
    <xf numFmtId="0" fontId="6" fillId="0" borderId="0" xfId="3" applyFont="1" applyFill="1" applyAlignment="1">
      <alignment horizontal="center" vertical="top"/>
    </xf>
    <xf numFmtId="4" fontId="6" fillId="0" borderId="0" xfId="3" applyNumberFormat="1" applyFont="1" applyFill="1" applyAlignment="1">
      <alignment horizontal="right" vertical="top"/>
    </xf>
    <xf numFmtId="43" fontId="6" fillId="0" borderId="0" xfId="3" applyNumberFormat="1" applyFont="1" applyFill="1" applyBorder="1" applyAlignment="1">
      <alignment horizontal="right" vertical="center"/>
    </xf>
    <xf numFmtId="2" fontId="6" fillId="0" borderId="0" xfId="3" applyNumberFormat="1" applyFont="1" applyFill="1" applyAlignment="1">
      <alignment vertical="top"/>
    </xf>
    <xf numFmtId="14" fontId="6" fillId="0" borderId="0" xfId="3" applyNumberFormat="1" applyFont="1" applyFill="1" applyAlignment="1">
      <alignment horizontal="right" vertical="top"/>
    </xf>
    <xf numFmtId="44" fontId="6" fillId="0" borderId="0" xfId="2" applyNumberFormat="1" applyFont="1" applyFill="1" applyAlignment="1">
      <alignment vertical="top"/>
    </xf>
    <xf numFmtId="44" fontId="6" fillId="0" borderId="0" xfId="2" applyFont="1" applyFill="1" applyAlignment="1">
      <alignment vertical="top"/>
    </xf>
    <xf numFmtId="44" fontId="6" fillId="0" borderId="1" xfId="2" applyFont="1" applyFill="1" applyBorder="1" applyAlignment="1">
      <alignment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5" fillId="0" borderId="0" xfId="0" applyFont="1" applyFill="1" applyBorder="1" applyAlignment="1">
      <alignment vertical="center"/>
    </xf>
    <xf numFmtId="14" fontId="5" fillId="0" borderId="0" xfId="0" applyNumberFormat="1" applyFont="1" applyAlignment="1">
      <alignment vertical="top"/>
    </xf>
    <xf numFmtId="2" fontId="5" fillId="0" borderId="6" xfId="0" applyNumberFormat="1" applyFont="1" applyBorder="1" applyAlignment="1">
      <alignment vertical="top"/>
    </xf>
    <xf numFmtId="4" fontId="5" fillId="0" borderId="6" xfId="0" applyNumberFormat="1" applyFont="1" applyBorder="1" applyAlignment="1">
      <alignment vertical="top"/>
    </xf>
    <xf numFmtId="0" fontId="5" fillId="0" borderId="6" xfId="0" applyFont="1" applyBorder="1" applyAlignment="1">
      <alignment vertical="top"/>
    </xf>
    <xf numFmtId="2" fontId="5" fillId="0" borderId="0" xfId="0" applyNumberFormat="1" applyFont="1" applyAlignment="1">
      <alignment vertical="top"/>
    </xf>
    <xf numFmtId="4" fontId="5" fillId="0" borderId="1" xfId="0" applyNumberFormat="1" applyFont="1" applyBorder="1" applyAlignment="1">
      <alignment vertical="top"/>
    </xf>
    <xf numFmtId="0" fontId="7" fillId="0" borderId="0" xfId="0" applyFont="1" applyAlignment="1">
      <alignment vertical="top"/>
    </xf>
    <xf numFmtId="0" fontId="5" fillId="5" borderId="2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0" fillId="0" borderId="0" xfId="0" applyFont="1" applyFill="1" applyAlignment="1">
      <alignment horizontal="left"/>
    </xf>
    <xf numFmtId="44" fontId="4" fillId="4" borderId="0" xfId="2" applyFont="1" applyFill="1" applyAlignment="1">
      <alignment horizontal="right" vertical="top"/>
    </xf>
    <xf numFmtId="0" fontId="4" fillId="4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2" fontId="0" fillId="0" borderId="0" xfId="0" applyNumberFormat="1" applyFont="1" applyBorder="1" applyAlignment="1">
      <alignment vertical="top"/>
    </xf>
    <xf numFmtId="0" fontId="5" fillId="5" borderId="7" xfId="0" applyFont="1" applyFill="1" applyBorder="1" applyAlignment="1">
      <alignment vertical="top"/>
    </xf>
    <xf numFmtId="0" fontId="5" fillId="5" borderId="8" xfId="0" applyFont="1" applyFill="1" applyBorder="1" applyAlignment="1">
      <alignment vertical="top"/>
    </xf>
    <xf numFmtId="0" fontId="5" fillId="5" borderId="9" xfId="0" applyFont="1" applyFill="1" applyBorder="1" applyAlignment="1">
      <alignment vertical="top"/>
    </xf>
    <xf numFmtId="0" fontId="5" fillId="5" borderId="8" xfId="0" applyFont="1" applyFill="1" applyBorder="1" applyAlignment="1">
      <alignment vertical="top" wrapText="1"/>
    </xf>
    <xf numFmtId="43" fontId="5" fillId="5" borderId="8" xfId="5" applyFont="1" applyFill="1" applyBorder="1" applyAlignment="1">
      <alignment horizontal="center" vertical="center" wrapText="1"/>
    </xf>
    <xf numFmtId="43" fontId="5" fillId="5" borderId="10" xfId="5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top"/>
    </xf>
    <xf numFmtId="44" fontId="4" fillId="0" borderId="0" xfId="2" applyFont="1" applyAlignment="1">
      <alignment horizontal="center" vertical="top"/>
    </xf>
    <xf numFmtId="0" fontId="0" fillId="0" borderId="0" xfId="0" applyFont="1" applyFill="1" applyAlignment="1">
      <alignment horizontal="center" vertical="top"/>
    </xf>
    <xf numFmtId="2" fontId="0" fillId="3" borderId="0" xfId="0" applyNumberFormat="1" applyFont="1" applyFill="1" applyAlignment="1">
      <alignment horizontal="right" vertical="top"/>
    </xf>
    <xf numFmtId="0" fontId="5" fillId="0" borderId="0" xfId="0" applyFont="1" applyAlignment="1">
      <alignment horizontal="center" vertical="top"/>
    </xf>
  </cellXfs>
  <cellStyles count="6">
    <cellStyle name="Comma" xfId="1" builtinId="3"/>
    <cellStyle name="Comma 2" xfId="5"/>
    <cellStyle name="Currency" xfId="2" builtinId="4"/>
    <cellStyle name="Good" xfId="3" builtinId="26"/>
    <cellStyle name="Normal" xfId="0" builtinId="0" customBuiltin="1"/>
    <cellStyle name="Percen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0"/>
  <sheetViews>
    <sheetView tabSelected="1" workbookViewId="0">
      <pane xSplit="5" ySplit="18" topLeftCell="G19" activePane="bottomRight" state="frozen"/>
      <selection pane="topRight" activeCell="F1" sqref="F1"/>
      <selection pane="bottomLeft" activeCell="A20" sqref="A20"/>
      <selection pane="bottomRight" activeCell="J13" sqref="J13"/>
    </sheetView>
  </sheetViews>
  <sheetFormatPr defaultColWidth="8.5703125" defaultRowHeight="12.75" x14ac:dyDescent="0.2"/>
  <cols>
    <col min="1" max="1" width="8.5703125" style="3"/>
    <col min="2" max="2" width="27.5703125" style="3" customWidth="1"/>
    <col min="3" max="3" width="28.140625" style="3" customWidth="1"/>
    <col min="4" max="4" width="27" style="3" bestFit="1" customWidth="1"/>
    <col min="5" max="5" width="11.42578125" style="3" bestFit="1" customWidth="1"/>
    <col min="6" max="6" width="13.140625" style="3" bestFit="1" customWidth="1"/>
    <col min="7" max="7" width="11.140625" style="3" bestFit="1" customWidth="1"/>
    <col min="8" max="8" width="12.140625" style="3" customWidth="1"/>
    <col min="9" max="9" width="11.28515625" style="3" bestFit="1" customWidth="1"/>
    <col min="10" max="10" width="10.28515625" style="3" customWidth="1"/>
    <col min="11" max="11" width="7.140625" style="3" bestFit="1" customWidth="1"/>
    <col min="12" max="12" width="16.7109375" style="3" customWidth="1"/>
    <col min="13" max="13" width="14" style="3" bestFit="1" customWidth="1"/>
    <col min="14" max="14" width="16.85546875" style="3" bestFit="1" customWidth="1"/>
    <col min="15" max="15" width="15.5703125" style="3" bestFit="1" customWidth="1"/>
    <col min="16" max="16" width="2" style="3" hidden="1" customWidth="1"/>
    <col min="17" max="17" width="11.140625" style="3" hidden="1" customWidth="1"/>
    <col min="18" max="18" width="12.5703125" style="3" bestFit="1" customWidth="1"/>
    <col min="19" max="19" width="11.28515625" style="3" bestFit="1" customWidth="1"/>
    <col min="20" max="20" width="13.85546875" style="3" bestFit="1" customWidth="1"/>
    <col min="21" max="16384" width="8.5703125" style="3"/>
  </cols>
  <sheetData>
    <row r="1" spans="1:20" x14ac:dyDescent="0.2">
      <c r="D1" s="119" t="s">
        <v>856</v>
      </c>
      <c r="M1" s="120" t="s">
        <v>860</v>
      </c>
    </row>
    <row r="2" spans="1:20" ht="13.5" thickBot="1" x14ac:dyDescent="0.25">
      <c r="D2" s="119" t="s">
        <v>857</v>
      </c>
      <c r="N2" s="57">
        <v>1.4500000000000001E-2</v>
      </c>
      <c r="O2" s="57">
        <v>0.34470000000000001</v>
      </c>
      <c r="P2" s="57"/>
      <c r="Q2" s="57"/>
    </row>
    <row r="3" spans="1:20" s="140" customFormat="1" ht="26.25" customHeight="1" thickBot="1" x14ac:dyDescent="0.25">
      <c r="A3" s="127" t="s">
        <v>614</v>
      </c>
      <c r="B3" s="134" t="s">
        <v>608</v>
      </c>
      <c r="C3" s="135" t="s">
        <v>609</v>
      </c>
      <c r="D3" s="136" t="s">
        <v>615</v>
      </c>
      <c r="E3" s="127" t="s">
        <v>610</v>
      </c>
      <c r="F3" s="134" t="s">
        <v>611</v>
      </c>
      <c r="G3" s="137" t="s">
        <v>623</v>
      </c>
      <c r="H3" s="135" t="s">
        <v>621</v>
      </c>
      <c r="I3" s="137" t="s">
        <v>612</v>
      </c>
      <c r="J3" s="137" t="s">
        <v>616</v>
      </c>
      <c r="K3" s="135" t="s">
        <v>624</v>
      </c>
      <c r="L3" s="135" t="s">
        <v>613</v>
      </c>
      <c r="M3" s="135" t="s">
        <v>617</v>
      </c>
      <c r="N3" s="138" t="s">
        <v>653</v>
      </c>
      <c r="O3" s="138" t="s">
        <v>649</v>
      </c>
      <c r="P3" s="138" t="s">
        <v>844</v>
      </c>
      <c r="Q3" s="138" t="s">
        <v>845</v>
      </c>
      <c r="R3" s="138" t="s">
        <v>650</v>
      </c>
      <c r="S3" s="138" t="s">
        <v>651</v>
      </c>
      <c r="T3" s="139" t="s">
        <v>652</v>
      </c>
    </row>
    <row r="4" spans="1:20" x14ac:dyDescent="0.2">
      <c r="A4" s="2">
        <v>5</v>
      </c>
      <c r="B4" s="3" t="s">
        <v>0</v>
      </c>
      <c r="C4" s="3" t="s">
        <v>1</v>
      </c>
      <c r="D4" s="40" t="s">
        <v>833</v>
      </c>
      <c r="E4" s="3" t="s">
        <v>2</v>
      </c>
      <c r="F4" s="4">
        <v>27.29</v>
      </c>
      <c r="G4" s="1">
        <f>F4*K4*80</f>
        <v>2183.1999999999998</v>
      </c>
      <c r="H4" s="3" t="s">
        <v>618</v>
      </c>
      <c r="I4" s="3" t="s">
        <v>3</v>
      </c>
      <c r="J4" s="3" t="s">
        <v>4</v>
      </c>
      <c r="K4" s="5">
        <v>1</v>
      </c>
      <c r="L4" s="4">
        <v>56763.199999999997</v>
      </c>
      <c r="M4" s="6"/>
      <c r="N4" s="59">
        <f>L4*N2</f>
        <v>823.06640000000004</v>
      </c>
      <c r="O4" s="58">
        <f>$O$2*L4</f>
        <v>19566.27504</v>
      </c>
      <c r="P4" s="69">
        <f>MATCH(D4,'OGB Contributions'!A:A,0)</f>
        <v>19</v>
      </c>
      <c r="Q4" s="58">
        <f>INDEX('OGB Contributions'!B:B,Sheet1!P4)</f>
        <v>3.7</v>
      </c>
      <c r="R4" s="58">
        <v>44.4</v>
      </c>
      <c r="S4" s="3">
        <f>50.84*12</f>
        <v>610.08000000000004</v>
      </c>
      <c r="T4" s="58">
        <f>SUM(L4,M4,N4,O4,R4,S4)</f>
        <v>77807.021439999997</v>
      </c>
    </row>
    <row r="5" spans="1:20" x14ac:dyDescent="0.2">
      <c r="A5" s="2">
        <v>5</v>
      </c>
      <c r="B5" s="3" t="s">
        <v>0</v>
      </c>
      <c r="C5" s="3" t="s">
        <v>5</v>
      </c>
      <c r="D5" s="40" t="s">
        <v>6</v>
      </c>
      <c r="E5" s="3" t="s">
        <v>7</v>
      </c>
      <c r="F5" s="4">
        <v>21.88</v>
      </c>
      <c r="G5" s="1">
        <f t="shared" ref="G5:G17" si="0">F5*K5*80</f>
        <v>1750.3999999999999</v>
      </c>
      <c r="H5" s="3" t="s">
        <v>618</v>
      </c>
      <c r="I5" s="3" t="s">
        <v>8</v>
      </c>
      <c r="J5" s="3" t="s">
        <v>9</v>
      </c>
      <c r="K5" s="5">
        <v>1</v>
      </c>
      <c r="L5" s="4">
        <v>45500</v>
      </c>
      <c r="M5" s="68">
        <f>(F5*7%)*2080</f>
        <v>3185.7280000000001</v>
      </c>
      <c r="N5" s="59">
        <f>L5*N2</f>
        <v>659.75</v>
      </c>
      <c r="O5" s="58">
        <f t="shared" ref="O5:O17" si="1">$O$2*L5</f>
        <v>15683.85</v>
      </c>
      <c r="P5" s="69">
        <f>MATCH(D5,'OGB Contributions'!A:A,0)</f>
        <v>27</v>
      </c>
      <c r="Q5" s="58">
        <f>INDEX('OGB Contributions'!B:B,Sheet1!P5)</f>
        <v>659.84</v>
      </c>
      <c r="R5" s="58">
        <f>(659.84*12)</f>
        <v>7918.08</v>
      </c>
      <c r="S5" s="3">
        <v>323.16000000000003</v>
      </c>
      <c r="T5" s="58">
        <f t="shared" ref="T5:T17" si="2">SUM(L5,M5,N5,O5,R5,S5)</f>
        <v>73270.567999999999</v>
      </c>
    </row>
    <row r="6" spans="1:20" x14ac:dyDescent="0.2">
      <c r="A6" s="2">
        <v>5</v>
      </c>
      <c r="B6" s="3" t="s">
        <v>0</v>
      </c>
      <c r="C6" s="3" t="s">
        <v>10</v>
      </c>
      <c r="D6" s="3" t="s">
        <v>11</v>
      </c>
      <c r="E6" s="3" t="s">
        <v>12</v>
      </c>
      <c r="F6" s="4">
        <v>56.84</v>
      </c>
      <c r="G6" s="1">
        <f t="shared" si="0"/>
        <v>4547.2000000000007</v>
      </c>
      <c r="H6" s="3" t="s">
        <v>618</v>
      </c>
      <c r="I6" s="3" t="s">
        <v>13</v>
      </c>
      <c r="J6" s="3" t="s">
        <v>14</v>
      </c>
      <c r="K6" s="5">
        <v>1</v>
      </c>
      <c r="L6" s="4">
        <v>118227.2</v>
      </c>
      <c r="M6" s="6"/>
      <c r="N6" s="59">
        <f>L6*N2</f>
        <v>1714.2944</v>
      </c>
      <c r="O6" s="58">
        <f t="shared" si="1"/>
        <v>40752.915840000001</v>
      </c>
      <c r="P6" s="69">
        <f>MATCH(D6,'OGB Contributions'!A:A,0)</f>
        <v>38</v>
      </c>
      <c r="Q6" s="58">
        <f>INDEX('OGB Contributions'!B:B,Sheet1!P6)</f>
        <v>786.54</v>
      </c>
      <c r="R6" s="58">
        <f>(786.54*12)</f>
        <v>9438.48</v>
      </c>
      <c r="S6" s="3">
        <f>81.96*12</f>
        <v>983.52</v>
      </c>
      <c r="T6" s="58">
        <f t="shared" si="2"/>
        <v>171116.41024</v>
      </c>
    </row>
    <row r="7" spans="1:20" x14ac:dyDescent="0.2">
      <c r="A7" s="2">
        <v>5</v>
      </c>
      <c r="B7" s="3" t="s">
        <v>0</v>
      </c>
      <c r="C7" s="3" t="s">
        <v>15</v>
      </c>
      <c r="D7" s="3" t="s">
        <v>16</v>
      </c>
      <c r="E7" s="3" t="s">
        <v>17</v>
      </c>
      <c r="F7" s="4">
        <v>27.14</v>
      </c>
      <c r="G7" s="1">
        <f t="shared" si="0"/>
        <v>2171.1999999999998</v>
      </c>
      <c r="H7" s="3" t="s">
        <v>618</v>
      </c>
      <c r="I7" s="3" t="s">
        <v>3</v>
      </c>
      <c r="J7" s="3" t="s">
        <v>18</v>
      </c>
      <c r="K7" s="5">
        <v>1</v>
      </c>
      <c r="L7" s="4">
        <v>56451.199999999997</v>
      </c>
      <c r="M7" s="6"/>
      <c r="N7" s="59">
        <f>L7*N2</f>
        <v>818.54240000000004</v>
      </c>
      <c r="O7" s="58">
        <f t="shared" si="1"/>
        <v>19458.728639999998</v>
      </c>
      <c r="P7" s="69">
        <f>MATCH(D7,'OGB Contributions'!A:A,0)</f>
        <v>53</v>
      </c>
      <c r="Q7" s="58">
        <f>INDEX('OGB Contributions'!B:B,Sheet1!P7)</f>
        <v>668.84</v>
      </c>
      <c r="R7" s="61">
        <f>Q7*12</f>
        <v>8026.08</v>
      </c>
      <c r="S7" s="3">
        <f>12*64.62</f>
        <v>775.44</v>
      </c>
      <c r="T7" s="58">
        <f t="shared" si="2"/>
        <v>85529.991039999994</v>
      </c>
    </row>
    <row r="8" spans="1:20" x14ac:dyDescent="0.2">
      <c r="A8" s="2">
        <v>5</v>
      </c>
      <c r="B8" s="3" t="s">
        <v>0</v>
      </c>
      <c r="C8" s="3" t="s">
        <v>19</v>
      </c>
      <c r="D8" s="3" t="s">
        <v>20</v>
      </c>
      <c r="E8" s="3" t="s">
        <v>21</v>
      </c>
      <c r="F8" s="4">
        <v>50.58</v>
      </c>
      <c r="G8" s="1">
        <f t="shared" si="0"/>
        <v>4046.3999999999996</v>
      </c>
      <c r="H8" s="3" t="s">
        <v>618</v>
      </c>
      <c r="I8" s="3" t="s">
        <v>22</v>
      </c>
      <c r="J8" s="3" t="s">
        <v>23</v>
      </c>
      <c r="K8" s="5">
        <v>1</v>
      </c>
      <c r="L8" s="4">
        <v>105206.39999999999</v>
      </c>
      <c r="M8" s="6"/>
      <c r="N8" s="59">
        <f>L8*N2</f>
        <v>1525.4928</v>
      </c>
      <c r="O8" s="58">
        <f t="shared" si="1"/>
        <v>36264.646079999999</v>
      </c>
      <c r="P8" s="69">
        <f>MATCH(D8,'OGB Contributions'!A:A,0)</f>
        <v>61</v>
      </c>
      <c r="Q8" s="58">
        <f>INDEX('OGB Contributions'!B:B,Sheet1!P8)</f>
        <v>675.84</v>
      </c>
      <c r="R8" s="61">
        <f t="shared" ref="R8:R17" si="3">Q8*12</f>
        <v>8110.08</v>
      </c>
      <c r="S8" s="3">
        <f>12*32.08</f>
        <v>384.96</v>
      </c>
      <c r="T8" s="58">
        <f t="shared" si="2"/>
        <v>151491.57887999999</v>
      </c>
    </row>
    <row r="9" spans="1:20" s="80" customFormat="1" x14ac:dyDescent="0.2">
      <c r="A9" s="94">
        <v>5</v>
      </c>
      <c r="B9" s="80" t="s">
        <v>0</v>
      </c>
      <c r="C9" s="80" t="s">
        <v>24</v>
      </c>
      <c r="D9" s="95" t="s">
        <v>852</v>
      </c>
      <c r="E9" s="97">
        <v>236407</v>
      </c>
      <c r="F9" s="75">
        <v>42.31</v>
      </c>
      <c r="G9" s="81">
        <f t="shared" si="0"/>
        <v>3384.8</v>
      </c>
      <c r="H9" s="80" t="s">
        <v>618</v>
      </c>
      <c r="I9" s="80" t="s">
        <v>25</v>
      </c>
      <c r="J9" s="80" t="s">
        <v>26</v>
      </c>
      <c r="K9" s="82">
        <v>1</v>
      </c>
      <c r="L9" s="75">
        <v>88000</v>
      </c>
      <c r="M9" s="83"/>
      <c r="N9" s="96">
        <f>L9*N2</f>
        <v>1276</v>
      </c>
      <c r="O9" s="87">
        <f t="shared" si="1"/>
        <v>30333.600000000002</v>
      </c>
      <c r="P9" s="86"/>
      <c r="Q9" s="87">
        <f>INDEX('OGB Contributions'!B:B,Sheet1!P9)</f>
        <v>771.54</v>
      </c>
      <c r="R9" s="88">
        <f t="shared" si="3"/>
        <v>9258.48</v>
      </c>
      <c r="T9" s="87">
        <f t="shared" si="2"/>
        <v>128868.08</v>
      </c>
    </row>
    <row r="10" spans="1:20" x14ac:dyDescent="0.2">
      <c r="A10" s="2">
        <v>5</v>
      </c>
      <c r="B10" s="3" t="s">
        <v>0</v>
      </c>
      <c r="C10" s="3" t="s">
        <v>19</v>
      </c>
      <c r="D10" s="3" t="s">
        <v>27</v>
      </c>
      <c r="E10" s="3" t="s">
        <v>28</v>
      </c>
      <c r="F10" s="4">
        <v>46.83</v>
      </c>
      <c r="G10" s="1">
        <f t="shared" si="0"/>
        <v>3746.3999999999996</v>
      </c>
      <c r="H10" s="3" t="s">
        <v>618</v>
      </c>
      <c r="I10" s="3" t="s">
        <v>22</v>
      </c>
      <c r="J10" s="3" t="s">
        <v>29</v>
      </c>
      <c r="K10" s="5">
        <v>1</v>
      </c>
      <c r="L10" s="4">
        <f>F9*2080</f>
        <v>88004.800000000003</v>
      </c>
      <c r="M10" s="6"/>
      <c r="N10" s="59">
        <f>L10*N2</f>
        <v>1276.0696</v>
      </c>
      <c r="O10" s="58">
        <f t="shared" si="1"/>
        <v>30335.254560000001</v>
      </c>
      <c r="P10" s="69">
        <f>MATCH(D10,'OGB Contributions'!A:A,0)</f>
        <v>94</v>
      </c>
      <c r="Q10" s="58">
        <f>INDEX('OGB Contributions'!B:B,Sheet1!P10)</f>
        <v>653.84</v>
      </c>
      <c r="R10" s="61">
        <f t="shared" si="3"/>
        <v>7846.08</v>
      </c>
      <c r="T10" s="58">
        <f t="shared" si="2"/>
        <v>127462.20416000001</v>
      </c>
    </row>
    <row r="11" spans="1:20" x14ac:dyDescent="0.2">
      <c r="A11" s="2">
        <v>5</v>
      </c>
      <c r="B11" s="3" t="s">
        <v>0</v>
      </c>
      <c r="C11" s="3" t="s">
        <v>30</v>
      </c>
      <c r="D11" s="3" t="s">
        <v>31</v>
      </c>
      <c r="E11" s="3" t="s">
        <v>32</v>
      </c>
      <c r="F11" s="4">
        <v>35.44</v>
      </c>
      <c r="G11" s="1">
        <f t="shared" si="0"/>
        <v>2835.2</v>
      </c>
      <c r="H11" s="3" t="s">
        <v>618</v>
      </c>
      <c r="I11" s="3" t="s">
        <v>3</v>
      </c>
      <c r="J11" s="3" t="s">
        <v>33</v>
      </c>
      <c r="K11" s="5">
        <v>1</v>
      </c>
      <c r="L11" s="4">
        <v>73715.199999999997</v>
      </c>
      <c r="M11" s="6"/>
      <c r="N11" s="59">
        <f>L11*N2</f>
        <v>1068.8704</v>
      </c>
      <c r="O11" s="58">
        <f t="shared" si="1"/>
        <v>25409.629440000001</v>
      </c>
      <c r="P11" s="69">
        <f>MATCH(D11,'OGB Contributions'!A:A,0)</f>
        <v>97</v>
      </c>
      <c r="Q11" s="58">
        <f>INDEX('OGB Contributions'!B:B,Sheet1!P11)</f>
        <v>756.54</v>
      </c>
      <c r="R11" s="61">
        <f t="shared" si="3"/>
        <v>9078.48</v>
      </c>
      <c r="S11" s="3">
        <f>12*74.94</f>
        <v>899.28</v>
      </c>
      <c r="T11" s="58">
        <f t="shared" si="2"/>
        <v>110171.45984</v>
      </c>
    </row>
    <row r="12" spans="1:20" x14ac:dyDescent="0.2">
      <c r="A12" s="2">
        <v>5</v>
      </c>
      <c r="B12" s="3" t="s">
        <v>0</v>
      </c>
      <c r="C12" s="3" t="s">
        <v>30</v>
      </c>
      <c r="D12" s="3" t="s">
        <v>34</v>
      </c>
      <c r="E12" s="3" t="s">
        <v>35</v>
      </c>
      <c r="F12" s="4">
        <v>27.68</v>
      </c>
      <c r="G12" s="1">
        <f t="shared" si="0"/>
        <v>2214.4</v>
      </c>
      <c r="H12" s="3" t="s">
        <v>618</v>
      </c>
      <c r="I12" s="3" t="s">
        <v>3</v>
      </c>
      <c r="J12" s="3" t="s">
        <v>36</v>
      </c>
      <c r="K12" s="5">
        <v>1</v>
      </c>
      <c r="L12" s="4">
        <v>57574.400000000001</v>
      </c>
      <c r="M12" s="6"/>
      <c r="N12" s="59">
        <f>L12*N2</f>
        <v>834.82880000000011</v>
      </c>
      <c r="O12" s="58">
        <f t="shared" si="1"/>
        <v>19845.895680000001</v>
      </c>
      <c r="P12" s="69">
        <f>MATCH(D12,'OGB Contributions'!A:A,0)</f>
        <v>104</v>
      </c>
      <c r="Q12" s="58">
        <f>INDEX('OGB Contributions'!B:B,Sheet1!P12)</f>
        <v>764.54</v>
      </c>
      <c r="R12" s="61">
        <f t="shared" si="3"/>
        <v>9174.48</v>
      </c>
      <c r="S12" s="3">
        <f>58.54*12</f>
        <v>702.48</v>
      </c>
      <c r="T12" s="58">
        <f t="shared" si="2"/>
        <v>88132.08447999999</v>
      </c>
    </row>
    <row r="13" spans="1:20" x14ac:dyDescent="0.2">
      <c r="A13" s="2">
        <v>5</v>
      </c>
      <c r="B13" s="3" t="s">
        <v>0</v>
      </c>
      <c r="C13" s="3" t="s">
        <v>30</v>
      </c>
      <c r="D13" s="3" t="s">
        <v>37</v>
      </c>
      <c r="E13" s="3" t="s">
        <v>38</v>
      </c>
      <c r="F13" s="4">
        <v>26.44</v>
      </c>
      <c r="G13" s="1">
        <f t="shared" si="0"/>
        <v>2115.2000000000003</v>
      </c>
      <c r="H13" s="3" t="s">
        <v>618</v>
      </c>
      <c r="I13" s="3" t="s">
        <v>3</v>
      </c>
      <c r="J13" s="3" t="s">
        <v>39</v>
      </c>
      <c r="K13" s="5">
        <v>1</v>
      </c>
      <c r="L13" s="4">
        <v>55000</v>
      </c>
      <c r="M13" s="6"/>
      <c r="N13" s="59">
        <f>L13*N2</f>
        <v>797.5</v>
      </c>
      <c r="O13" s="58">
        <f t="shared" si="1"/>
        <v>18958.5</v>
      </c>
      <c r="P13" s="69">
        <f>MATCH(D13,'OGB Contributions'!A:A,0)</f>
        <v>117</v>
      </c>
      <c r="Q13" s="58">
        <f>INDEX('OGB Contributions'!B:B,Sheet1!P13)</f>
        <v>415.54</v>
      </c>
      <c r="R13" s="61">
        <f t="shared" si="3"/>
        <v>4986.4800000000005</v>
      </c>
      <c r="S13" s="3">
        <f>12*32.08</f>
        <v>384.96</v>
      </c>
      <c r="T13" s="58">
        <f t="shared" si="2"/>
        <v>80127.44</v>
      </c>
    </row>
    <row r="14" spans="1:20" x14ac:dyDescent="0.2">
      <c r="A14" s="2">
        <v>5</v>
      </c>
      <c r="B14" s="3" t="s">
        <v>0</v>
      </c>
      <c r="C14" s="3" t="s">
        <v>40</v>
      </c>
      <c r="D14" s="3" t="s">
        <v>41</v>
      </c>
      <c r="E14" s="3" t="s">
        <v>42</v>
      </c>
      <c r="F14" s="4">
        <v>39.119999999999997</v>
      </c>
      <c r="G14" s="1">
        <f t="shared" si="0"/>
        <v>3129.6</v>
      </c>
      <c r="H14" s="3" t="s">
        <v>618</v>
      </c>
      <c r="I14" s="3" t="s">
        <v>43</v>
      </c>
      <c r="J14" s="3" t="s">
        <v>44</v>
      </c>
      <c r="K14" s="5">
        <v>1</v>
      </c>
      <c r="L14" s="4">
        <v>81369.600000000006</v>
      </c>
      <c r="M14" s="6"/>
      <c r="N14" s="59">
        <f>L14*N2</f>
        <v>1179.8592000000001</v>
      </c>
      <c r="O14" s="58">
        <f t="shared" si="1"/>
        <v>28048.101120000003</v>
      </c>
      <c r="P14" s="69">
        <f>MATCH(D14,'OGB Contributions'!A:A,0)</f>
        <v>120</v>
      </c>
      <c r="Q14" s="58">
        <f>INDEX('OGB Contributions'!B:B,Sheet1!P14)</f>
        <v>764.54</v>
      </c>
      <c r="R14" s="61">
        <f t="shared" si="3"/>
        <v>9174.48</v>
      </c>
      <c r="S14" s="3">
        <f>58.54*12</f>
        <v>702.48</v>
      </c>
      <c r="T14" s="58">
        <f t="shared" si="2"/>
        <v>120474.52032000001</v>
      </c>
    </row>
    <row r="15" spans="1:20" x14ac:dyDescent="0.2">
      <c r="A15" s="2">
        <v>5</v>
      </c>
      <c r="B15" s="3" t="s">
        <v>0</v>
      </c>
      <c r="C15" s="3" t="s">
        <v>40</v>
      </c>
      <c r="D15" s="3" t="s">
        <v>45</v>
      </c>
      <c r="E15" s="3" t="s">
        <v>46</v>
      </c>
      <c r="F15" s="4">
        <v>39.119999999999997</v>
      </c>
      <c r="G15" s="1">
        <f t="shared" si="0"/>
        <v>3129.6</v>
      </c>
      <c r="H15" s="3" t="s">
        <v>618</v>
      </c>
      <c r="I15" s="3" t="s">
        <v>43</v>
      </c>
      <c r="J15" s="3" t="s">
        <v>47</v>
      </c>
      <c r="K15" s="5">
        <v>1</v>
      </c>
      <c r="L15" s="4">
        <v>81369.600000000006</v>
      </c>
      <c r="M15" s="6"/>
      <c r="N15" s="59">
        <f>L15*N2</f>
        <v>1179.8592000000001</v>
      </c>
      <c r="O15" s="58">
        <f t="shared" si="1"/>
        <v>28048.101120000003</v>
      </c>
      <c r="P15" s="69">
        <f>MATCH(D15,'OGB Contributions'!A:A,0)</f>
        <v>122</v>
      </c>
      <c r="Q15" s="58">
        <f>INDEX('OGB Contributions'!B:B,Sheet1!P15)</f>
        <v>690.84</v>
      </c>
      <c r="R15" s="61">
        <f t="shared" si="3"/>
        <v>8290.08</v>
      </c>
      <c r="S15" s="3">
        <f>12*32.08</f>
        <v>384.96</v>
      </c>
      <c r="T15" s="58">
        <f t="shared" si="2"/>
        <v>119272.60032000003</v>
      </c>
    </row>
    <row r="16" spans="1:20" x14ac:dyDescent="0.2">
      <c r="A16" s="2">
        <v>5</v>
      </c>
      <c r="B16" s="3" t="s">
        <v>0</v>
      </c>
      <c r="C16" s="3" t="s">
        <v>48</v>
      </c>
      <c r="D16" s="32" t="s">
        <v>49</v>
      </c>
      <c r="E16" s="98">
        <v>356912</v>
      </c>
      <c r="F16" s="4">
        <v>24.04</v>
      </c>
      <c r="G16" s="1">
        <f t="shared" si="0"/>
        <v>1923.1999999999998</v>
      </c>
      <c r="H16" s="3" t="s">
        <v>618</v>
      </c>
      <c r="I16" s="3" t="s">
        <v>50</v>
      </c>
      <c r="J16" s="3" t="s">
        <v>51</v>
      </c>
      <c r="K16" s="5">
        <v>1</v>
      </c>
      <c r="L16" s="4">
        <v>50000</v>
      </c>
      <c r="M16" s="68">
        <f>(F16*10.5%)*2080</f>
        <v>5250.3360000000002</v>
      </c>
      <c r="N16" s="59">
        <f>L16*N2</f>
        <v>725</v>
      </c>
      <c r="O16" s="58">
        <f t="shared" si="1"/>
        <v>17235</v>
      </c>
      <c r="P16" s="69">
        <f>MATCH(D16,'OGB Contributions'!A:A,0)</f>
        <v>137</v>
      </c>
      <c r="Q16" s="58">
        <f>INDEX('OGB Contributions'!B:B,Sheet1!P16)</f>
        <v>236.3</v>
      </c>
      <c r="R16" s="61">
        <f t="shared" si="3"/>
        <v>2835.6000000000004</v>
      </c>
      <c r="S16" s="3">
        <f>12*32.08</f>
        <v>384.96</v>
      </c>
      <c r="T16" s="58">
        <f t="shared" si="2"/>
        <v>76430.896000000022</v>
      </c>
    </row>
    <row r="17" spans="1:20" x14ac:dyDescent="0.2">
      <c r="A17" s="2">
        <v>5</v>
      </c>
      <c r="B17" s="3" t="s">
        <v>0</v>
      </c>
      <c r="C17" s="3" t="s">
        <v>30</v>
      </c>
      <c r="D17" s="3" t="s">
        <v>52</v>
      </c>
      <c r="E17" s="3" t="s">
        <v>53</v>
      </c>
      <c r="F17" s="4">
        <v>30.18</v>
      </c>
      <c r="G17" s="1">
        <f t="shared" si="0"/>
        <v>2414.4</v>
      </c>
      <c r="H17" s="3" t="s">
        <v>618</v>
      </c>
      <c r="I17" s="3" t="s">
        <v>3</v>
      </c>
      <c r="J17" s="3" t="s">
        <v>54</v>
      </c>
      <c r="K17" s="5">
        <v>1</v>
      </c>
      <c r="L17" s="4">
        <v>62774.400000000001</v>
      </c>
      <c r="M17" s="6"/>
      <c r="N17" s="59">
        <f>L17*N2</f>
        <v>910.22880000000009</v>
      </c>
      <c r="O17" s="58">
        <f t="shared" si="1"/>
        <v>21638.33568</v>
      </c>
      <c r="P17" s="69">
        <f>MATCH(D17,'OGB Contributions'!A:A,0)</f>
        <v>147</v>
      </c>
      <c r="Q17" s="58">
        <f>INDEX('OGB Contributions'!B:B,Sheet1!P17)</f>
        <v>653.84</v>
      </c>
      <c r="R17" s="61">
        <f t="shared" si="3"/>
        <v>7846.08</v>
      </c>
      <c r="S17" s="3">
        <f>81.96*12</f>
        <v>983.52</v>
      </c>
      <c r="T17" s="58">
        <f t="shared" si="2"/>
        <v>94152.564480000001</v>
      </c>
    </row>
    <row r="18" spans="1:20" s="106" customFormat="1" x14ac:dyDescent="0.2">
      <c r="A18" s="105"/>
      <c r="D18" s="107" t="s">
        <v>631</v>
      </c>
      <c r="F18" s="108"/>
      <c r="G18" s="109"/>
      <c r="K18" s="110"/>
      <c r="L18" s="108">
        <v>30160</v>
      </c>
      <c r="M18" s="111"/>
      <c r="N18" s="112">
        <f>L18*N2</f>
        <v>437.32000000000005</v>
      </c>
      <c r="T18" s="113">
        <f>SUM(L18,N18)</f>
        <v>30597.32</v>
      </c>
    </row>
    <row r="19" spans="1:20" s="22" customFormat="1" ht="13.5" thickBot="1" x14ac:dyDescent="0.25">
      <c r="D19" s="28" t="s">
        <v>625</v>
      </c>
      <c r="F19" s="23"/>
      <c r="G19" s="23"/>
      <c r="L19" s="23">
        <f>SUM(L4:L17)*0.03</f>
        <v>30598.68</v>
      </c>
      <c r="M19" s="25"/>
      <c r="T19" s="114">
        <f>SUM(L19,N19)</f>
        <v>30598.68</v>
      </c>
    </row>
    <row r="20" spans="1:20" s="14" customFormat="1" x14ac:dyDescent="0.2">
      <c r="A20" s="14">
        <v>195</v>
      </c>
      <c r="B20" s="14" t="s">
        <v>55</v>
      </c>
      <c r="C20" s="14" t="s">
        <v>56</v>
      </c>
      <c r="D20" s="14" t="s">
        <v>57</v>
      </c>
      <c r="E20" s="14" t="s">
        <v>58</v>
      </c>
      <c r="F20" s="15">
        <v>39.36</v>
      </c>
      <c r="G20" s="1">
        <f>F20*K20*80</f>
        <v>3148.8</v>
      </c>
      <c r="H20" s="14" t="s">
        <v>618</v>
      </c>
      <c r="I20" s="14" t="s">
        <v>25</v>
      </c>
      <c r="J20" s="14" t="s">
        <v>59</v>
      </c>
      <c r="K20" s="16">
        <v>1</v>
      </c>
      <c r="L20" s="15">
        <v>81868.800000000003</v>
      </c>
      <c r="M20" s="17"/>
      <c r="N20" s="60">
        <f>L20*N2</f>
        <v>1187.0976000000001</v>
      </c>
      <c r="O20" s="58">
        <f>$O$2*L20</f>
        <v>28220.175360000001</v>
      </c>
      <c r="P20" s="69">
        <f>MATCH(D20,'OGB Contributions'!A:A,0)</f>
        <v>43</v>
      </c>
      <c r="Q20" s="58">
        <f>INDEX('OGB Contributions'!B:B,Sheet1!P20)</f>
        <v>758.54</v>
      </c>
      <c r="R20" s="61">
        <f>Q20*12</f>
        <v>9102.48</v>
      </c>
      <c r="S20" s="3">
        <f>58.54*12</f>
        <v>702.48</v>
      </c>
      <c r="T20" s="58">
        <f>SUM(L20,M20,N20,O20,R20,S20)</f>
        <v>121081.03295999998</v>
      </c>
    </row>
    <row r="21" spans="1:20" x14ac:dyDescent="0.2">
      <c r="A21" s="3">
        <v>195</v>
      </c>
      <c r="B21" s="3" t="s">
        <v>55</v>
      </c>
      <c r="C21" s="3" t="s">
        <v>60</v>
      </c>
      <c r="D21" s="3" t="s">
        <v>61</v>
      </c>
      <c r="E21" s="3" t="s">
        <v>62</v>
      </c>
      <c r="F21" s="4">
        <v>10</v>
      </c>
      <c r="G21" s="1">
        <f>F21*K21*80</f>
        <v>0</v>
      </c>
      <c r="H21" s="3" t="s">
        <v>626</v>
      </c>
      <c r="I21" s="3" t="s">
        <v>60</v>
      </c>
      <c r="J21" s="3" t="s">
        <v>63</v>
      </c>
      <c r="K21" s="5">
        <v>0</v>
      </c>
      <c r="L21" s="4">
        <v>20800</v>
      </c>
      <c r="M21" s="6"/>
      <c r="N21" s="60">
        <f>L21*N2</f>
        <v>301.60000000000002</v>
      </c>
      <c r="O21" s="58">
        <f>$O$2*L21</f>
        <v>7169.76</v>
      </c>
      <c r="P21" s="69"/>
      <c r="Q21" s="58">
        <f>INDEX('OGB Contributions'!B:B,Sheet1!P21)</f>
        <v>690.84</v>
      </c>
      <c r="R21" s="61">
        <f>Q21*12</f>
        <v>8290.08</v>
      </c>
      <c r="T21" s="58">
        <f>SUM(L21,M21,N21,O21,R21,S21)</f>
        <v>36561.440000000002</v>
      </c>
    </row>
    <row r="22" spans="1:20" x14ac:dyDescent="0.2">
      <c r="A22" s="3">
        <v>195</v>
      </c>
      <c r="B22" s="3" t="s">
        <v>55</v>
      </c>
      <c r="C22" s="3" t="s">
        <v>56</v>
      </c>
      <c r="D22" s="3" t="s">
        <v>64</v>
      </c>
      <c r="E22" s="3" t="s">
        <v>65</v>
      </c>
      <c r="F22" s="4">
        <v>39.340000000000003</v>
      </c>
      <c r="G22" s="1">
        <f>F22*K22*80</f>
        <v>3147.2000000000003</v>
      </c>
      <c r="H22" s="3" t="s">
        <v>618</v>
      </c>
      <c r="I22" s="3" t="s">
        <v>25</v>
      </c>
      <c r="J22" s="3" t="s">
        <v>66</v>
      </c>
      <c r="K22" s="5">
        <v>1</v>
      </c>
      <c r="L22" s="4">
        <v>81827.199999999997</v>
      </c>
      <c r="M22" s="6"/>
      <c r="N22" s="60">
        <f>L22*N2</f>
        <v>1186.4944</v>
      </c>
      <c r="O22" s="58">
        <f>$O$2*L22</f>
        <v>28205.83584</v>
      </c>
      <c r="P22" s="69">
        <f>MATCH(D22,'OGB Contributions'!A:A,0)</f>
        <v>82</v>
      </c>
      <c r="Q22" s="58">
        <f>INDEX('OGB Contributions'!B:B,Sheet1!P22)</f>
        <v>771.54</v>
      </c>
      <c r="R22" s="61">
        <f>Q22*12</f>
        <v>9258.48</v>
      </c>
      <c r="S22" s="3">
        <f>58.54*12</f>
        <v>702.48</v>
      </c>
      <c r="T22" s="58">
        <f>SUM(L22,M22,N22,O22,R22,S22)</f>
        <v>121180.49023999998</v>
      </c>
    </row>
    <row r="23" spans="1:20" x14ac:dyDescent="0.2">
      <c r="A23" s="3">
        <v>195</v>
      </c>
      <c r="B23" s="3" t="s">
        <v>55</v>
      </c>
      <c r="C23" s="3" t="s">
        <v>67</v>
      </c>
      <c r="D23" s="3" t="s">
        <v>68</v>
      </c>
      <c r="E23" s="3" t="s">
        <v>69</v>
      </c>
      <c r="F23" s="4">
        <v>51.92</v>
      </c>
      <c r="G23" s="1">
        <f>F23*K23*80</f>
        <v>4153.6000000000004</v>
      </c>
      <c r="H23" s="3" t="s">
        <v>618</v>
      </c>
      <c r="I23" s="3" t="s">
        <v>70</v>
      </c>
      <c r="J23" s="3" t="s">
        <v>71</v>
      </c>
      <c r="K23" s="5">
        <v>1</v>
      </c>
      <c r="L23" s="4">
        <v>108000</v>
      </c>
      <c r="M23" s="6"/>
      <c r="N23" s="60">
        <f>L23*N2</f>
        <v>1566</v>
      </c>
      <c r="O23" s="58">
        <f>$O$2*L23</f>
        <v>37227.599999999999</v>
      </c>
      <c r="P23" s="69">
        <f>MATCH(D23,'OGB Contributions'!A:A,0)</f>
        <v>103</v>
      </c>
      <c r="Q23" s="58">
        <f>INDEX('OGB Contributions'!B:B,Sheet1!P23)</f>
        <v>662.84</v>
      </c>
      <c r="R23" s="61">
        <f>Q23*12</f>
        <v>7954.08</v>
      </c>
      <c r="S23" s="3">
        <f>12*32.08</f>
        <v>384.96</v>
      </c>
      <c r="T23" s="58">
        <f>SUM(L23,M23,N23,O23,R23,S23)</f>
        <v>155132.63999999998</v>
      </c>
    </row>
    <row r="24" spans="1:20" s="8" customFormat="1" x14ac:dyDescent="0.2">
      <c r="A24" s="8">
        <v>195</v>
      </c>
      <c r="B24" s="8" t="s">
        <v>55</v>
      </c>
      <c r="C24" s="8" t="s">
        <v>56</v>
      </c>
      <c r="D24" s="9" t="s">
        <v>622</v>
      </c>
      <c r="F24" s="10">
        <v>39.340000000000003</v>
      </c>
      <c r="G24" s="11">
        <f>F24*K24*80</f>
        <v>3147.2000000000003</v>
      </c>
      <c r="H24" s="8" t="s">
        <v>618</v>
      </c>
      <c r="I24" s="8" t="s">
        <v>25</v>
      </c>
      <c r="J24" s="102">
        <v>50580207</v>
      </c>
      <c r="K24" s="12">
        <v>1</v>
      </c>
      <c r="L24" s="10">
        <v>81827.199999999997</v>
      </c>
      <c r="M24" s="13"/>
      <c r="N24" s="62">
        <f>L24*N2</f>
        <v>1186.4944</v>
      </c>
      <c r="O24" s="67">
        <f>$O$2*L24</f>
        <v>28205.83584</v>
      </c>
      <c r="P24" s="70"/>
      <c r="Q24" s="67"/>
      <c r="R24" s="73">
        <f>Q24*12</f>
        <v>0</v>
      </c>
      <c r="T24" s="67">
        <f>SUM(L24,M24,N24,O24,R24,S24)</f>
        <v>111219.53023999999</v>
      </c>
    </row>
    <row r="25" spans="1:20" s="22" customFormat="1" ht="13.5" thickBot="1" x14ac:dyDescent="0.25">
      <c r="D25" s="28" t="s">
        <v>625</v>
      </c>
      <c r="F25" s="23"/>
      <c r="G25" s="23"/>
      <c r="K25" s="24"/>
      <c r="L25" s="23">
        <f>SUM(L20,L22:L24)*0.03</f>
        <v>10605.696</v>
      </c>
      <c r="M25" s="25"/>
      <c r="O25" s="66"/>
      <c r="P25" s="66"/>
      <c r="Q25" s="66"/>
      <c r="T25" s="66">
        <f>L25</f>
        <v>10605.696</v>
      </c>
    </row>
    <row r="26" spans="1:20" s="14" customFormat="1" x14ac:dyDescent="0.2">
      <c r="A26" s="14">
        <v>180</v>
      </c>
      <c r="B26" s="14" t="s">
        <v>629</v>
      </c>
      <c r="C26" s="14" t="s">
        <v>628</v>
      </c>
      <c r="D26" s="14" t="s">
        <v>415</v>
      </c>
      <c r="E26" s="26">
        <v>67063</v>
      </c>
      <c r="F26" s="15">
        <v>49.43</v>
      </c>
      <c r="G26" s="1">
        <f>F26*K26*80</f>
        <v>3954.4</v>
      </c>
      <c r="H26" s="14" t="s">
        <v>618</v>
      </c>
      <c r="I26" s="14" t="s">
        <v>70</v>
      </c>
      <c r="J26" s="26">
        <v>50667082</v>
      </c>
      <c r="K26" s="16">
        <v>1</v>
      </c>
      <c r="L26" s="15">
        <f>F26*2080</f>
        <v>102814.39999999999</v>
      </c>
      <c r="M26" s="17"/>
      <c r="N26" s="60">
        <f>L26*N2</f>
        <v>1490.8088</v>
      </c>
      <c r="O26" s="58">
        <f>$O$2*L26</f>
        <v>35440.123679999997</v>
      </c>
      <c r="P26" s="69">
        <f>MATCH(D26,'OGB Contributions'!A:A,0)</f>
        <v>58</v>
      </c>
      <c r="Q26" s="58">
        <f>INDEX('OGB Contributions'!B:B,Sheet1!P26)</f>
        <v>771.54</v>
      </c>
      <c r="R26" s="61">
        <f>Q26*12</f>
        <v>9258.48</v>
      </c>
      <c r="S26" s="3">
        <f>58.54*12</f>
        <v>702.48</v>
      </c>
      <c r="T26" s="58">
        <f>SUM(L26,M26,N26,O26,R26,S26)</f>
        <v>149706.29248</v>
      </c>
    </row>
    <row r="27" spans="1:20" s="14" customFormat="1" x14ac:dyDescent="0.2">
      <c r="A27" s="14">
        <v>180</v>
      </c>
      <c r="B27" s="14" t="s">
        <v>629</v>
      </c>
      <c r="C27" s="14" t="s">
        <v>627</v>
      </c>
      <c r="D27" s="14" t="s">
        <v>73</v>
      </c>
      <c r="E27" s="14" t="s">
        <v>74</v>
      </c>
      <c r="F27" s="15">
        <v>36.11</v>
      </c>
      <c r="G27" s="1">
        <f>F27*K27*80</f>
        <v>2888.8</v>
      </c>
      <c r="H27" s="14" t="s">
        <v>618</v>
      </c>
      <c r="I27" s="14" t="s">
        <v>22</v>
      </c>
      <c r="J27" s="26">
        <v>50465626</v>
      </c>
      <c r="K27" s="16">
        <v>1</v>
      </c>
      <c r="L27" s="15">
        <f>F27*2080</f>
        <v>75108.800000000003</v>
      </c>
      <c r="M27" s="17"/>
      <c r="N27" s="60">
        <f>L27*N2</f>
        <v>1089.0776000000001</v>
      </c>
      <c r="O27" s="58">
        <f>$O$2*L27</f>
        <v>25890.003360000002</v>
      </c>
      <c r="P27" s="69">
        <f>MATCH(D27,'OGB Contributions'!A:A,0)</f>
        <v>106</v>
      </c>
      <c r="Q27" s="58">
        <f>INDEX('OGB Contributions'!B:B,Sheet1!P27)</f>
        <v>690.84</v>
      </c>
      <c r="R27" s="61">
        <f>Q27*12</f>
        <v>8290.08</v>
      </c>
      <c r="S27" s="14">
        <f>26.92*12</f>
        <v>323.04000000000002</v>
      </c>
      <c r="T27" s="58">
        <f>SUM(L27,M27,N27,O27,R27,S27)</f>
        <v>110701.00096</v>
      </c>
    </row>
    <row r="28" spans="1:20" s="18" customFormat="1" x14ac:dyDescent="0.2">
      <c r="A28" s="18">
        <v>180</v>
      </c>
      <c r="B28" s="18" t="s">
        <v>629</v>
      </c>
      <c r="C28" s="18" t="s">
        <v>75</v>
      </c>
      <c r="D28" s="54" t="s">
        <v>622</v>
      </c>
      <c r="F28" s="19">
        <v>34.29</v>
      </c>
      <c r="G28" s="11">
        <f>F28*K28*80</f>
        <v>2743.2</v>
      </c>
      <c r="H28" s="18" t="s">
        <v>618</v>
      </c>
      <c r="I28" s="18" t="s">
        <v>3</v>
      </c>
      <c r="J28" s="18" t="s">
        <v>77</v>
      </c>
      <c r="K28" s="20">
        <v>1</v>
      </c>
      <c r="L28" s="19">
        <v>71323.199999999997</v>
      </c>
      <c r="M28" s="21"/>
      <c r="N28" s="62">
        <f>L28*N2</f>
        <v>1034.1864</v>
      </c>
      <c r="O28" s="67">
        <f>$O$2*L28</f>
        <v>24585.107039999999</v>
      </c>
      <c r="P28" s="70" t="e">
        <f>MATCH(D28,'OGB Contributions'!A:A,0)</f>
        <v>#N/A</v>
      </c>
      <c r="Q28" s="67" t="e">
        <f>INDEX('OGB Contributions'!B:B,Sheet1!P28)</f>
        <v>#N/A</v>
      </c>
      <c r="R28" s="101" t="s">
        <v>855</v>
      </c>
      <c r="T28" s="67">
        <f>SUM(L28,M28,N28,O28,R28,S28)</f>
        <v>96942.493440000006</v>
      </c>
    </row>
    <row r="29" spans="1:20" s="22" customFormat="1" ht="13.5" thickBot="1" x14ac:dyDescent="0.25">
      <c r="D29" s="28" t="s">
        <v>625</v>
      </c>
      <c r="F29" s="23"/>
      <c r="G29" s="23"/>
      <c r="K29" s="24"/>
      <c r="L29" s="23">
        <f>SUM(L26:L28)*0.03</f>
        <v>7477.3920000000007</v>
      </c>
      <c r="M29" s="25"/>
      <c r="T29" s="66">
        <f>L29</f>
        <v>7477.3920000000007</v>
      </c>
    </row>
    <row r="30" spans="1:20" s="14" customFormat="1" x14ac:dyDescent="0.2">
      <c r="A30" s="14">
        <v>190</v>
      </c>
      <c r="B30" s="14" t="s">
        <v>630</v>
      </c>
      <c r="C30" s="14" t="s">
        <v>78</v>
      </c>
      <c r="D30" s="14" t="s">
        <v>79</v>
      </c>
      <c r="E30" s="14" t="s">
        <v>80</v>
      </c>
      <c r="F30" s="15">
        <v>29.78</v>
      </c>
      <c r="G30" s="1">
        <f t="shared" ref="G30:G48" si="4">F30*K30*80</f>
        <v>2382.4</v>
      </c>
      <c r="H30" s="14" t="s">
        <v>618</v>
      </c>
      <c r="I30" s="14" t="s">
        <v>81</v>
      </c>
      <c r="J30" s="14" t="s">
        <v>82</v>
      </c>
      <c r="K30" s="16">
        <v>1</v>
      </c>
      <c r="L30" s="15">
        <v>61942.400000000001</v>
      </c>
      <c r="M30" s="17"/>
      <c r="N30" s="63">
        <f>L30*N2</f>
        <v>898.16480000000001</v>
      </c>
      <c r="O30" s="60">
        <f>$O$2*L30</f>
        <v>21351.545280000002</v>
      </c>
      <c r="P30" s="69">
        <f>MATCH(D30,'OGB Contributions'!A:A,0)</f>
        <v>16</v>
      </c>
      <c r="Q30" s="58">
        <f>INDEX('OGB Contributions'!B:B,Sheet1!P30)</f>
        <v>720.84</v>
      </c>
      <c r="R30" s="61">
        <f t="shared" ref="R30:R48" si="5">Q30*12</f>
        <v>8650.08</v>
      </c>
      <c r="T30" s="58">
        <f t="shared" ref="T30:T48" si="6">SUM(L30,M30,N30,O30,R30,S30)</f>
        <v>92842.19008</v>
      </c>
    </row>
    <row r="31" spans="1:20" x14ac:dyDescent="0.2">
      <c r="A31" s="14">
        <v>190</v>
      </c>
      <c r="B31" s="14" t="s">
        <v>630</v>
      </c>
      <c r="C31" s="3" t="s">
        <v>72</v>
      </c>
      <c r="D31" s="3" t="s">
        <v>83</v>
      </c>
      <c r="E31" s="3" t="s">
        <v>84</v>
      </c>
      <c r="F31" s="4">
        <v>38.450000000000003</v>
      </c>
      <c r="G31" s="1">
        <f t="shared" si="4"/>
        <v>3076</v>
      </c>
      <c r="H31" s="3" t="s">
        <v>618</v>
      </c>
      <c r="I31" s="3" t="s">
        <v>43</v>
      </c>
      <c r="J31" s="3" t="s">
        <v>85</v>
      </c>
      <c r="K31" s="5">
        <v>1</v>
      </c>
      <c r="L31" s="4">
        <v>79976</v>
      </c>
      <c r="M31" s="6"/>
      <c r="N31" s="63">
        <f>L31*N2</f>
        <v>1159.652</v>
      </c>
      <c r="O31" s="60">
        <f t="shared" ref="O31:O48" si="7">$O$2*L31</f>
        <v>27567.727200000001</v>
      </c>
      <c r="P31" s="69">
        <f>MATCH(D31,'OGB Contributions'!A:A,0)</f>
        <v>26</v>
      </c>
      <c r="Q31" s="58">
        <f>INDEX('OGB Contributions'!B:B,Sheet1!P31)</f>
        <v>243</v>
      </c>
      <c r="R31" s="61">
        <f t="shared" si="5"/>
        <v>2916</v>
      </c>
      <c r="S31" s="3">
        <f>12*32.08</f>
        <v>384.96</v>
      </c>
      <c r="T31" s="58">
        <f t="shared" si="6"/>
        <v>112004.3392</v>
      </c>
    </row>
    <row r="32" spans="1:20" x14ac:dyDescent="0.2">
      <c r="A32" s="14">
        <v>190</v>
      </c>
      <c r="B32" s="14" t="s">
        <v>630</v>
      </c>
      <c r="C32" s="3" t="s">
        <v>86</v>
      </c>
      <c r="D32" s="3" t="s">
        <v>87</v>
      </c>
      <c r="E32" s="3" t="s">
        <v>88</v>
      </c>
      <c r="F32" s="4">
        <v>38.590000000000003</v>
      </c>
      <c r="G32" s="1">
        <f t="shared" si="4"/>
        <v>3087.2000000000003</v>
      </c>
      <c r="H32" s="3" t="s">
        <v>618</v>
      </c>
      <c r="I32" s="3" t="s">
        <v>3</v>
      </c>
      <c r="J32" s="3" t="s">
        <v>89</v>
      </c>
      <c r="K32" s="5">
        <v>1</v>
      </c>
      <c r="L32" s="4">
        <v>80267.199999999997</v>
      </c>
      <c r="M32" s="6"/>
      <c r="N32" s="63">
        <f>L32*N2</f>
        <v>1163.8743999999999</v>
      </c>
      <c r="O32" s="60">
        <f t="shared" si="7"/>
        <v>27668.10384</v>
      </c>
      <c r="P32" s="69">
        <f>MATCH(D32,'OGB Contributions'!A:A,0)</f>
        <v>41</v>
      </c>
      <c r="Q32" s="58">
        <f>INDEX('OGB Contributions'!B:B,Sheet1!P32)</f>
        <v>1143.8</v>
      </c>
      <c r="R32" s="61">
        <f t="shared" si="5"/>
        <v>13725.599999999999</v>
      </c>
      <c r="S32" s="3">
        <f>26.92*12</f>
        <v>323.04000000000002</v>
      </c>
      <c r="T32" s="58">
        <f t="shared" si="6"/>
        <v>123147.81823999998</v>
      </c>
    </row>
    <row r="33" spans="1:20" x14ac:dyDescent="0.2">
      <c r="A33" s="14">
        <v>190</v>
      </c>
      <c r="B33" s="14" t="s">
        <v>630</v>
      </c>
      <c r="C33" s="3" t="s">
        <v>75</v>
      </c>
      <c r="D33" s="3" t="s">
        <v>90</v>
      </c>
      <c r="E33" s="3" t="s">
        <v>91</v>
      </c>
      <c r="F33" s="4">
        <v>31.82</v>
      </c>
      <c r="G33" s="1">
        <f t="shared" si="4"/>
        <v>2545.6</v>
      </c>
      <c r="H33" s="3" t="s">
        <v>618</v>
      </c>
      <c r="I33" s="3" t="s">
        <v>3</v>
      </c>
      <c r="J33" s="3" t="s">
        <v>92</v>
      </c>
      <c r="K33" s="5">
        <v>1</v>
      </c>
      <c r="L33" s="4">
        <v>66185.600000000006</v>
      </c>
      <c r="M33" s="6"/>
      <c r="N33" s="63">
        <f>L33*N2</f>
        <v>959.69120000000009</v>
      </c>
      <c r="O33" s="60">
        <f t="shared" si="7"/>
        <v>22814.176320000002</v>
      </c>
      <c r="P33" s="69">
        <f>MATCH(D33,'OGB Contributions'!A:A,0)</f>
        <v>42</v>
      </c>
      <c r="Q33" s="58">
        <f>INDEX('OGB Contributions'!B:B,Sheet1!P33)</f>
        <v>67</v>
      </c>
      <c r="R33" s="61">
        <f t="shared" si="5"/>
        <v>804</v>
      </c>
      <c r="T33" s="58">
        <f t="shared" si="6"/>
        <v>90763.467520000006</v>
      </c>
    </row>
    <row r="34" spans="1:20" x14ac:dyDescent="0.2">
      <c r="A34" s="14">
        <v>190</v>
      </c>
      <c r="B34" s="14" t="s">
        <v>630</v>
      </c>
      <c r="C34" s="3" t="s">
        <v>67</v>
      </c>
      <c r="D34" s="3" t="s">
        <v>93</v>
      </c>
      <c r="E34" s="3" t="s">
        <v>94</v>
      </c>
      <c r="F34" s="4">
        <v>51.92</v>
      </c>
      <c r="G34" s="1">
        <f t="shared" si="4"/>
        <v>4153.6000000000004</v>
      </c>
      <c r="H34" s="3" t="s">
        <v>618</v>
      </c>
      <c r="I34" s="3" t="s">
        <v>70</v>
      </c>
      <c r="J34" s="3" t="s">
        <v>95</v>
      </c>
      <c r="K34" s="5">
        <v>1</v>
      </c>
      <c r="L34" s="4">
        <v>108000</v>
      </c>
      <c r="M34" s="6"/>
      <c r="N34" s="63">
        <f>L34*N2</f>
        <v>1566</v>
      </c>
      <c r="O34" s="60">
        <f t="shared" si="7"/>
        <v>37227.599999999999</v>
      </c>
      <c r="P34" s="69">
        <f>MATCH(D34,'OGB Contributions'!A:A,0)</f>
        <v>50</v>
      </c>
      <c r="Q34" s="58">
        <f>INDEX('OGB Contributions'!B:B,Sheet1!P34)</f>
        <v>1209.3599999999999</v>
      </c>
      <c r="R34" s="61">
        <f t="shared" si="5"/>
        <v>14512.32</v>
      </c>
      <c r="S34" s="3">
        <f>12*109.16</f>
        <v>1309.92</v>
      </c>
      <c r="T34" s="58">
        <f t="shared" si="6"/>
        <v>162615.84000000003</v>
      </c>
    </row>
    <row r="35" spans="1:20" s="80" customFormat="1" x14ac:dyDescent="0.2">
      <c r="A35" s="128">
        <v>190</v>
      </c>
      <c r="B35" s="128" t="s">
        <v>630</v>
      </c>
      <c r="C35" s="80" t="s">
        <v>75</v>
      </c>
      <c r="D35" s="91" t="s">
        <v>848</v>
      </c>
      <c r="E35" s="97">
        <v>363074</v>
      </c>
      <c r="F35" s="75">
        <f>G35/80</f>
        <v>24.4</v>
      </c>
      <c r="G35" s="81">
        <v>1952</v>
      </c>
      <c r="H35" s="80" t="s">
        <v>618</v>
      </c>
      <c r="I35" s="80" t="s">
        <v>3</v>
      </c>
      <c r="J35" s="80" t="s">
        <v>97</v>
      </c>
      <c r="K35" s="82">
        <v>1</v>
      </c>
      <c r="L35" s="75">
        <f>F35*2080</f>
        <v>50752</v>
      </c>
      <c r="M35" s="83"/>
      <c r="N35" s="84">
        <f>L35*N2</f>
        <v>735.904</v>
      </c>
      <c r="O35" s="85">
        <f t="shared" si="7"/>
        <v>17494.214400000001</v>
      </c>
      <c r="P35" s="86"/>
      <c r="Q35" s="87"/>
      <c r="R35" s="88">
        <f t="shared" si="5"/>
        <v>0</v>
      </c>
      <c r="T35" s="87">
        <f t="shared" si="6"/>
        <v>68982.118400000007</v>
      </c>
    </row>
    <row r="36" spans="1:20" x14ac:dyDescent="0.2">
      <c r="A36" s="14">
        <v>190</v>
      </c>
      <c r="B36" s="14" t="s">
        <v>630</v>
      </c>
      <c r="C36" s="3" t="s">
        <v>98</v>
      </c>
      <c r="D36" s="3" t="s">
        <v>99</v>
      </c>
      <c r="E36" s="3" t="s">
        <v>100</v>
      </c>
      <c r="F36" s="4">
        <v>24.86</v>
      </c>
      <c r="G36" s="1">
        <f t="shared" si="4"/>
        <v>1988.8</v>
      </c>
      <c r="H36" s="3" t="s">
        <v>618</v>
      </c>
      <c r="I36" s="3" t="s">
        <v>81</v>
      </c>
      <c r="J36" s="3" t="s">
        <v>101</v>
      </c>
      <c r="K36" s="5">
        <v>1</v>
      </c>
      <c r="L36" s="4">
        <v>51708.800000000003</v>
      </c>
      <c r="M36" s="6"/>
      <c r="N36" s="63">
        <f>L36*N2</f>
        <v>749.77760000000012</v>
      </c>
      <c r="O36" s="60">
        <f t="shared" si="7"/>
        <v>17824.023360000003</v>
      </c>
      <c r="P36" s="69">
        <f>MATCH(D36,'OGB Contributions'!A:A,0)</f>
        <v>60</v>
      </c>
      <c r="Q36" s="58">
        <f>INDEX('OGB Contributions'!B:B,Sheet1!P36)</f>
        <v>754.54</v>
      </c>
      <c r="R36" s="61">
        <f t="shared" si="5"/>
        <v>9054.48</v>
      </c>
      <c r="S36" s="3">
        <f>26.92*12</f>
        <v>323.04000000000002</v>
      </c>
      <c r="T36" s="58">
        <f t="shared" si="6"/>
        <v>79660.12096</v>
      </c>
    </row>
    <row r="37" spans="1:20" x14ac:dyDescent="0.2">
      <c r="A37" s="14">
        <v>190</v>
      </c>
      <c r="B37" s="14" t="s">
        <v>630</v>
      </c>
      <c r="C37" s="3" t="s">
        <v>75</v>
      </c>
      <c r="D37" s="3" t="s">
        <v>102</v>
      </c>
      <c r="E37" s="3" t="s">
        <v>103</v>
      </c>
      <c r="F37" s="4">
        <v>30.23</v>
      </c>
      <c r="G37" s="1">
        <f t="shared" si="4"/>
        <v>2418.4</v>
      </c>
      <c r="H37" s="3" t="s">
        <v>618</v>
      </c>
      <c r="I37" s="3" t="s">
        <v>3</v>
      </c>
      <c r="J37" s="3" t="s">
        <v>104</v>
      </c>
      <c r="K37" s="5">
        <v>1</v>
      </c>
      <c r="L37" s="4">
        <v>62878.400000000001</v>
      </c>
      <c r="M37" s="6"/>
      <c r="N37" s="63">
        <f>L37*N2</f>
        <v>911.73680000000002</v>
      </c>
      <c r="O37" s="60">
        <f t="shared" si="7"/>
        <v>21674.18448</v>
      </c>
      <c r="P37" s="69">
        <f>MATCH(D37,'OGB Contributions'!A:A,0)</f>
        <v>64</v>
      </c>
      <c r="Q37" s="58">
        <f>INDEX('OGB Contributions'!B:B,Sheet1!P37)</f>
        <v>653.84</v>
      </c>
      <c r="R37" s="61">
        <f t="shared" si="5"/>
        <v>7846.08</v>
      </c>
      <c r="S37" s="3">
        <f>26.92*12</f>
        <v>323.04000000000002</v>
      </c>
      <c r="T37" s="58">
        <f t="shared" si="6"/>
        <v>93633.441279999999</v>
      </c>
    </row>
    <row r="38" spans="1:20" x14ac:dyDescent="0.2">
      <c r="A38" s="14">
        <v>190</v>
      </c>
      <c r="B38" s="14" t="s">
        <v>630</v>
      </c>
      <c r="C38" s="3" t="s">
        <v>105</v>
      </c>
      <c r="D38" s="3" t="s">
        <v>106</v>
      </c>
      <c r="E38" s="3" t="s">
        <v>107</v>
      </c>
      <c r="F38" s="4">
        <v>19.920000000000002</v>
      </c>
      <c r="G38" s="1">
        <f t="shared" si="4"/>
        <v>1593.6000000000001</v>
      </c>
      <c r="H38" s="3" t="s">
        <v>618</v>
      </c>
      <c r="I38" s="3" t="s">
        <v>8</v>
      </c>
      <c r="J38" s="3" t="s">
        <v>108</v>
      </c>
      <c r="K38" s="5">
        <v>1</v>
      </c>
      <c r="L38" s="4">
        <v>41434</v>
      </c>
      <c r="M38" s="68">
        <f>(F38*7%)*2080</f>
        <v>2900.3520000000008</v>
      </c>
      <c r="N38" s="63">
        <f>L38*N2</f>
        <v>600.79300000000001</v>
      </c>
      <c r="O38" s="60">
        <f t="shared" si="7"/>
        <v>14282.299800000001</v>
      </c>
      <c r="P38" s="69"/>
      <c r="Q38" s="58">
        <f>INDEX('OGB Contributions'!B:B,Sheet1!P38)</f>
        <v>786.54</v>
      </c>
      <c r="R38" s="61">
        <f t="shared" si="5"/>
        <v>9438.48</v>
      </c>
      <c r="T38" s="58">
        <f t="shared" si="6"/>
        <v>68655.924799999993</v>
      </c>
    </row>
    <row r="39" spans="1:20" x14ac:dyDescent="0.2">
      <c r="A39" s="14">
        <v>190</v>
      </c>
      <c r="B39" s="14" t="s">
        <v>630</v>
      </c>
      <c r="C39" s="3" t="s">
        <v>86</v>
      </c>
      <c r="D39" s="3" t="s">
        <v>109</v>
      </c>
      <c r="E39" s="3" t="s">
        <v>110</v>
      </c>
      <c r="F39" s="4">
        <v>24.6</v>
      </c>
      <c r="G39" s="1">
        <f t="shared" si="4"/>
        <v>1968</v>
      </c>
      <c r="H39" s="3" t="s">
        <v>618</v>
      </c>
      <c r="I39" s="3" t="s">
        <v>3</v>
      </c>
      <c r="J39" s="3" t="s">
        <v>111</v>
      </c>
      <c r="K39" s="5">
        <v>1</v>
      </c>
      <c r="L39" s="4">
        <v>51168</v>
      </c>
      <c r="M39" s="6"/>
      <c r="N39" s="63">
        <f>L39*N2</f>
        <v>741.93600000000004</v>
      </c>
      <c r="O39" s="60">
        <f t="shared" si="7"/>
        <v>17637.6096</v>
      </c>
      <c r="P39" s="69">
        <f>MATCH(D39,'OGB Contributions'!A:A,0)</f>
        <v>88</v>
      </c>
      <c r="Q39" s="58">
        <f>INDEX('OGB Contributions'!B:B,Sheet1!P39)</f>
        <v>336.3</v>
      </c>
      <c r="R39" s="61">
        <f t="shared" si="5"/>
        <v>4035.6000000000004</v>
      </c>
      <c r="S39" s="3">
        <f>26.92*12</f>
        <v>323.04000000000002</v>
      </c>
      <c r="T39" s="58">
        <f t="shared" si="6"/>
        <v>73906.185599999997</v>
      </c>
    </row>
    <row r="40" spans="1:20" x14ac:dyDescent="0.2">
      <c r="A40" s="14">
        <v>190</v>
      </c>
      <c r="B40" s="14" t="s">
        <v>630</v>
      </c>
      <c r="C40" s="3" t="s">
        <v>105</v>
      </c>
      <c r="D40" s="3" t="s">
        <v>112</v>
      </c>
      <c r="E40" s="3" t="s">
        <v>113</v>
      </c>
      <c r="F40" s="4">
        <v>19.920000000000002</v>
      </c>
      <c r="G40" s="1">
        <f t="shared" si="4"/>
        <v>1593.6000000000001</v>
      </c>
      <c r="H40" s="3" t="s">
        <v>618</v>
      </c>
      <c r="I40" s="3" t="s">
        <v>8</v>
      </c>
      <c r="J40" s="3" t="s">
        <v>114</v>
      </c>
      <c r="K40" s="5">
        <v>1</v>
      </c>
      <c r="L40" s="4">
        <v>41434</v>
      </c>
      <c r="M40" s="68">
        <f>(F40*7%)*2080</f>
        <v>2900.3520000000008</v>
      </c>
      <c r="N40" s="63">
        <f>L40*N2</f>
        <v>600.79300000000001</v>
      </c>
      <c r="O40" s="60">
        <f t="shared" si="7"/>
        <v>14282.299800000001</v>
      </c>
      <c r="P40" s="69">
        <f>MATCH(D40,'OGB Contributions'!A:A,0)</f>
        <v>91</v>
      </c>
      <c r="Q40" s="58">
        <f>INDEX('OGB Contributions'!B:B,Sheet1!P40)</f>
        <v>754.54</v>
      </c>
      <c r="R40" s="61">
        <f t="shared" si="5"/>
        <v>9054.48</v>
      </c>
      <c r="S40" s="3">
        <f>26.92*12</f>
        <v>323.04000000000002</v>
      </c>
      <c r="T40" s="58">
        <f t="shared" si="6"/>
        <v>68594.964799999987</v>
      </c>
    </row>
    <row r="41" spans="1:20" x14ac:dyDescent="0.2">
      <c r="A41" s="14">
        <v>190</v>
      </c>
      <c r="B41" s="14" t="s">
        <v>630</v>
      </c>
      <c r="C41" s="3" t="s">
        <v>75</v>
      </c>
      <c r="D41" s="3" t="s">
        <v>115</v>
      </c>
      <c r="E41" s="3" t="s">
        <v>116</v>
      </c>
      <c r="F41" s="4">
        <v>31.28</v>
      </c>
      <c r="G41" s="1">
        <f t="shared" si="4"/>
        <v>2502.4</v>
      </c>
      <c r="H41" s="3" t="s">
        <v>618</v>
      </c>
      <c r="I41" s="3" t="s">
        <v>3</v>
      </c>
      <c r="J41" s="3" t="s">
        <v>117</v>
      </c>
      <c r="K41" s="5">
        <v>1</v>
      </c>
      <c r="L41" s="4">
        <v>65062.400000000001</v>
      </c>
      <c r="M41" s="6"/>
      <c r="N41" s="63">
        <f>L41*N2</f>
        <v>943.40480000000002</v>
      </c>
      <c r="O41" s="60">
        <f t="shared" si="7"/>
        <v>22427.009280000002</v>
      </c>
      <c r="P41" s="69"/>
      <c r="Q41" s="58">
        <f>INDEX('OGB Contributions'!B:B,Sheet1!P41)</f>
        <v>1143.8</v>
      </c>
      <c r="R41" s="61">
        <f t="shared" si="5"/>
        <v>13725.599999999999</v>
      </c>
      <c r="T41" s="58">
        <f t="shared" si="6"/>
        <v>102158.41407999999</v>
      </c>
    </row>
    <row r="42" spans="1:20" s="80" customFormat="1" x14ac:dyDescent="0.2">
      <c r="A42" s="128">
        <v>190</v>
      </c>
      <c r="B42" s="128" t="s">
        <v>630</v>
      </c>
      <c r="C42" s="74" t="s">
        <v>847</v>
      </c>
      <c r="D42" s="129" t="s">
        <v>96</v>
      </c>
      <c r="E42" s="97">
        <v>217696</v>
      </c>
      <c r="F42" s="75">
        <v>41.45</v>
      </c>
      <c r="G42" s="81">
        <f t="shared" si="4"/>
        <v>3316</v>
      </c>
      <c r="H42" s="80" t="s">
        <v>618</v>
      </c>
      <c r="I42" s="74" t="s">
        <v>43</v>
      </c>
      <c r="J42" s="80" t="s">
        <v>121</v>
      </c>
      <c r="K42" s="82">
        <v>1</v>
      </c>
      <c r="L42" s="75">
        <f>F42*2080</f>
        <v>86216</v>
      </c>
      <c r="M42" s="83"/>
      <c r="N42" s="84">
        <f>L42*N2</f>
        <v>1250.1320000000001</v>
      </c>
      <c r="O42" s="85">
        <f t="shared" si="7"/>
        <v>29718.655200000001</v>
      </c>
      <c r="P42" s="86"/>
      <c r="Q42" s="87"/>
      <c r="R42" s="88">
        <f t="shared" si="5"/>
        <v>0</v>
      </c>
      <c r="T42" s="87">
        <f t="shared" si="6"/>
        <v>117184.78719999999</v>
      </c>
    </row>
    <row r="43" spans="1:20" x14ac:dyDescent="0.2">
      <c r="A43" s="14">
        <v>190</v>
      </c>
      <c r="B43" s="14" t="s">
        <v>630</v>
      </c>
      <c r="C43" s="3" t="s">
        <v>78</v>
      </c>
      <c r="D43" s="3" t="s">
        <v>122</v>
      </c>
      <c r="E43" s="3" t="s">
        <v>123</v>
      </c>
      <c r="F43" s="4">
        <v>19.55</v>
      </c>
      <c r="G43" s="1">
        <f t="shared" si="4"/>
        <v>1564</v>
      </c>
      <c r="H43" s="3" t="s">
        <v>618</v>
      </c>
      <c r="I43" s="3" t="s">
        <v>124</v>
      </c>
      <c r="J43" s="3" t="s">
        <v>82</v>
      </c>
      <c r="K43" s="5">
        <v>1</v>
      </c>
      <c r="L43" s="4">
        <v>40664</v>
      </c>
      <c r="M43" s="6"/>
      <c r="N43" s="63">
        <f>L43*N2</f>
        <v>589.62800000000004</v>
      </c>
      <c r="O43" s="60">
        <f t="shared" si="7"/>
        <v>14016.880800000001</v>
      </c>
      <c r="P43" s="69"/>
      <c r="Q43" s="58">
        <f>INDEX('OGB Contributions'!B:B,Sheet1!P43)</f>
        <v>758.54</v>
      </c>
      <c r="R43" s="61">
        <v>7918.08</v>
      </c>
      <c r="S43" s="3">
        <v>323.04000000000002</v>
      </c>
      <c r="T43" s="58">
        <f t="shared" si="6"/>
        <v>63511.628799999999</v>
      </c>
    </row>
    <row r="44" spans="1:20" x14ac:dyDescent="0.2">
      <c r="A44" s="14">
        <v>190</v>
      </c>
      <c r="B44" s="14" t="s">
        <v>630</v>
      </c>
      <c r="C44" s="3" t="s">
        <v>125</v>
      </c>
      <c r="D44" s="3" t="s">
        <v>126</v>
      </c>
      <c r="E44" s="3" t="s">
        <v>127</v>
      </c>
      <c r="F44" s="4">
        <v>20.239999999999998</v>
      </c>
      <c r="G44" s="1">
        <f t="shared" si="4"/>
        <v>1619.1999999999998</v>
      </c>
      <c r="H44" s="3" t="s">
        <v>618</v>
      </c>
      <c r="I44" s="3" t="s">
        <v>128</v>
      </c>
      <c r="J44" s="3" t="s">
        <v>129</v>
      </c>
      <c r="K44" s="5">
        <v>1</v>
      </c>
      <c r="L44" s="4">
        <v>42099.199999999997</v>
      </c>
      <c r="M44" s="6"/>
      <c r="N44" s="63">
        <f>L44*N2</f>
        <v>610.4384</v>
      </c>
      <c r="O44" s="60">
        <f t="shared" si="7"/>
        <v>14511.594239999999</v>
      </c>
      <c r="P44" s="69">
        <f>MATCH(D44,'OGB Contributions'!A:A,0)</f>
        <v>128</v>
      </c>
      <c r="Q44" s="58">
        <f>INDEX('OGB Contributions'!B:B,Sheet1!P44)</f>
        <v>749.54</v>
      </c>
      <c r="R44" s="61">
        <f t="shared" si="5"/>
        <v>8994.48</v>
      </c>
      <c r="S44" s="3">
        <f>12*74.94</f>
        <v>899.28</v>
      </c>
      <c r="T44" s="58">
        <f t="shared" si="6"/>
        <v>67114.992639999997</v>
      </c>
    </row>
    <row r="45" spans="1:20" s="8" customFormat="1" x14ac:dyDescent="0.2">
      <c r="A45" s="18">
        <v>190</v>
      </c>
      <c r="B45" s="18" t="s">
        <v>630</v>
      </c>
      <c r="C45" s="8" t="s">
        <v>130</v>
      </c>
      <c r="D45" s="42" t="s">
        <v>622</v>
      </c>
      <c r="F45" s="10">
        <v>21.63</v>
      </c>
      <c r="G45" s="11">
        <f t="shared" si="4"/>
        <v>1730.3999999999999</v>
      </c>
      <c r="H45" s="8" t="s">
        <v>618</v>
      </c>
      <c r="I45" s="8" t="s">
        <v>50</v>
      </c>
      <c r="J45" s="8" t="s">
        <v>132</v>
      </c>
      <c r="K45" s="12">
        <v>1</v>
      </c>
      <c r="L45" s="10">
        <v>45000</v>
      </c>
      <c r="M45" s="130">
        <f>(F45*10.5%)*2080</f>
        <v>4723.9920000000002</v>
      </c>
      <c r="N45" s="64">
        <f>L45*N2</f>
        <v>652.5</v>
      </c>
      <c r="O45" s="62">
        <f t="shared" si="7"/>
        <v>15511.5</v>
      </c>
      <c r="P45" s="70" t="e">
        <f>MATCH(D45,'OGB Contributions'!A:A,0)</f>
        <v>#N/A</v>
      </c>
      <c r="Q45" s="67" t="e">
        <f>INDEX('OGB Contributions'!B:B,Sheet1!P45)</f>
        <v>#N/A</v>
      </c>
      <c r="R45" s="73"/>
      <c r="T45" s="67">
        <f t="shared" si="6"/>
        <v>65887.991999999998</v>
      </c>
    </row>
    <row r="46" spans="1:20" x14ac:dyDescent="0.2">
      <c r="A46" s="14">
        <v>190</v>
      </c>
      <c r="B46" s="14" t="s">
        <v>630</v>
      </c>
      <c r="C46" s="74" t="s">
        <v>627</v>
      </c>
      <c r="D46" s="3" t="s">
        <v>133</v>
      </c>
      <c r="E46" s="3" t="s">
        <v>134</v>
      </c>
      <c r="F46" s="75">
        <v>34.26</v>
      </c>
      <c r="G46" s="1">
        <f t="shared" si="4"/>
        <v>2740.7999999999997</v>
      </c>
      <c r="H46" s="3" t="s">
        <v>618</v>
      </c>
      <c r="I46" s="74" t="s">
        <v>22</v>
      </c>
      <c r="J46" s="3" t="s">
        <v>135</v>
      </c>
      <c r="K46" s="5">
        <v>1</v>
      </c>
      <c r="L46" s="4">
        <v>64480</v>
      </c>
      <c r="M46" s="6"/>
      <c r="N46" s="63">
        <f>L46*N2</f>
        <v>934.96</v>
      </c>
      <c r="O46" s="60">
        <f t="shared" si="7"/>
        <v>22226.256000000001</v>
      </c>
      <c r="P46" s="69">
        <f>MATCH(D46,'OGB Contributions'!A:A,0)</f>
        <v>139</v>
      </c>
      <c r="Q46" s="58">
        <f>INDEX('OGB Contributions'!B:B,Sheet1!P46)</f>
        <v>750.14</v>
      </c>
      <c r="R46" s="61">
        <f t="shared" si="5"/>
        <v>9001.68</v>
      </c>
      <c r="S46" s="3">
        <f>26.92*12</f>
        <v>323.04000000000002</v>
      </c>
      <c r="T46" s="58">
        <f t="shared" si="6"/>
        <v>96965.936000000002</v>
      </c>
    </row>
    <row r="47" spans="1:20" x14ac:dyDescent="0.2">
      <c r="A47" s="14">
        <v>190</v>
      </c>
      <c r="B47" s="14" t="s">
        <v>630</v>
      </c>
      <c r="C47" s="3" t="s">
        <v>130</v>
      </c>
      <c r="D47" s="3" t="s">
        <v>136</v>
      </c>
      <c r="E47" s="3" t="s">
        <v>137</v>
      </c>
      <c r="F47" s="4">
        <v>19.47</v>
      </c>
      <c r="G47" s="1">
        <f t="shared" si="4"/>
        <v>1557.6</v>
      </c>
      <c r="H47" s="3" t="s">
        <v>618</v>
      </c>
      <c r="I47" s="3" t="s">
        <v>50</v>
      </c>
      <c r="J47" s="3" t="s">
        <v>138</v>
      </c>
      <c r="K47" s="5">
        <v>1</v>
      </c>
      <c r="L47" s="4">
        <v>40497.599999999999</v>
      </c>
      <c r="M47" s="68">
        <f>(F47*10.5%)*2080</f>
        <v>4252.2479999999996</v>
      </c>
      <c r="N47" s="63">
        <f>L47*N2</f>
        <v>587.21519999999998</v>
      </c>
      <c r="O47" s="60">
        <f t="shared" si="7"/>
        <v>13959.522719999999</v>
      </c>
      <c r="P47" s="69">
        <f>MATCH(D47,'OGB Contributions'!A:A,0)</f>
        <v>141</v>
      </c>
      <c r="Q47" s="58">
        <f>INDEX('OGB Contributions'!B:B,Sheet1!P47)</f>
        <v>554.17999999999995</v>
      </c>
      <c r="R47" s="61">
        <f t="shared" si="5"/>
        <v>6650.16</v>
      </c>
      <c r="T47" s="58">
        <f t="shared" si="6"/>
        <v>65946.745920000001</v>
      </c>
    </row>
    <row r="48" spans="1:20" s="80" customFormat="1" x14ac:dyDescent="0.2">
      <c r="A48" s="128">
        <v>190</v>
      </c>
      <c r="B48" s="128" t="s">
        <v>630</v>
      </c>
      <c r="C48" s="80" t="s">
        <v>75</v>
      </c>
      <c r="D48" s="142" t="s">
        <v>861</v>
      </c>
      <c r="F48" s="75">
        <v>25.96</v>
      </c>
      <c r="G48" s="81">
        <f t="shared" si="4"/>
        <v>2076.8000000000002</v>
      </c>
      <c r="I48" s="80" t="s">
        <v>3</v>
      </c>
      <c r="J48" s="97">
        <v>50588097</v>
      </c>
      <c r="K48" s="82">
        <v>1</v>
      </c>
      <c r="L48" s="75">
        <f>F48*2080</f>
        <v>53996.800000000003</v>
      </c>
      <c r="M48" s="83"/>
      <c r="N48" s="84">
        <f>L48*N2</f>
        <v>782.95360000000005</v>
      </c>
      <c r="O48" s="85">
        <f t="shared" si="7"/>
        <v>18612.696960000001</v>
      </c>
      <c r="P48" s="86"/>
      <c r="Q48" s="87"/>
      <c r="R48" s="88">
        <f t="shared" si="5"/>
        <v>0</v>
      </c>
      <c r="T48" s="87">
        <f t="shared" si="6"/>
        <v>73392.450559999997</v>
      </c>
    </row>
    <row r="49" spans="1:20" x14ac:dyDescent="0.2">
      <c r="D49" s="27" t="s">
        <v>631</v>
      </c>
      <c r="F49" s="4"/>
      <c r="G49" s="4"/>
      <c r="K49" s="5"/>
      <c r="L49" s="4">
        <v>35360</v>
      </c>
      <c r="M49" s="6"/>
      <c r="N49" s="84">
        <f>L49*N2</f>
        <v>512.72</v>
      </c>
      <c r="T49" s="58">
        <f>SUM(L49:N49)</f>
        <v>35872.720000000001</v>
      </c>
    </row>
    <row r="50" spans="1:20" s="22" customFormat="1" ht="13.5" thickBot="1" x14ac:dyDescent="0.25">
      <c r="D50" s="28" t="s">
        <v>625</v>
      </c>
      <c r="F50" s="23"/>
      <c r="G50" s="23"/>
      <c r="K50" s="24"/>
      <c r="L50" s="23">
        <f>SUM(L30:L48)*0.03</f>
        <v>34012.871999999996</v>
      </c>
      <c r="M50" s="25"/>
      <c r="T50" s="66">
        <f>L50</f>
        <v>34012.871999999996</v>
      </c>
    </row>
    <row r="51" spans="1:20" s="14" customFormat="1" x14ac:dyDescent="0.2">
      <c r="A51" s="30">
        <v>95</v>
      </c>
      <c r="B51" s="29" t="s">
        <v>632</v>
      </c>
      <c r="C51" s="14" t="s">
        <v>627</v>
      </c>
      <c r="D51" s="31" t="s">
        <v>119</v>
      </c>
      <c r="E51" s="14" t="s">
        <v>120</v>
      </c>
      <c r="F51" s="15">
        <v>37.51</v>
      </c>
      <c r="G51" s="1">
        <f>F51*K51*80</f>
        <v>3000.7999999999997</v>
      </c>
      <c r="H51" s="14" t="s">
        <v>618</v>
      </c>
      <c r="I51" s="33" t="s">
        <v>22</v>
      </c>
      <c r="J51" s="33" t="s">
        <v>633</v>
      </c>
      <c r="K51" s="16">
        <v>1</v>
      </c>
      <c r="L51" s="34">
        <f>+G51*26</f>
        <v>78020.799999999988</v>
      </c>
      <c r="M51" s="17"/>
      <c r="N51" s="65">
        <f>L51*N2</f>
        <v>1131.3015999999998</v>
      </c>
      <c r="O51" s="60">
        <f>$O$2*L51</f>
        <v>26893.769759999996</v>
      </c>
      <c r="P51" s="69">
        <f>MATCH(D51,'OGB Contributions'!A:A,0)</f>
        <v>114</v>
      </c>
      <c r="Q51" s="58">
        <f>INDEX('OGB Contributions'!B:B,Sheet1!P51)</f>
        <v>764.54</v>
      </c>
      <c r="R51" s="61">
        <f>Q51*12</f>
        <v>9174.48</v>
      </c>
      <c r="S51" s="14">
        <f>58.54*12</f>
        <v>702.48</v>
      </c>
      <c r="T51" s="58">
        <f>SUM(L51,M51,N51,O51,R51,S51)</f>
        <v>115922.83135999998</v>
      </c>
    </row>
    <row r="52" spans="1:20" x14ac:dyDescent="0.2">
      <c r="A52" s="14">
        <v>95</v>
      </c>
      <c r="B52" s="40" t="s">
        <v>632</v>
      </c>
      <c r="C52" s="3" t="s">
        <v>75</v>
      </c>
      <c r="D52" s="3" t="s">
        <v>194</v>
      </c>
      <c r="E52" s="3" t="s">
        <v>195</v>
      </c>
      <c r="F52" s="4">
        <v>26.59</v>
      </c>
      <c r="G52" s="1">
        <f t="shared" ref="G52" si="8">F52*K52*80</f>
        <v>2127.1999999999998</v>
      </c>
      <c r="H52" s="3" t="s">
        <v>618</v>
      </c>
      <c r="I52" s="3" t="s">
        <v>3</v>
      </c>
      <c r="J52" s="3" t="s">
        <v>196</v>
      </c>
      <c r="K52" s="5">
        <v>1</v>
      </c>
      <c r="L52" s="4">
        <v>55307.199999999997</v>
      </c>
      <c r="M52" s="6"/>
      <c r="N52" s="63">
        <f t="shared" ref="N52" si="9">$N$2*L52</f>
        <v>801.95439999999996</v>
      </c>
      <c r="O52" s="63">
        <f t="shared" ref="O52" si="10">$O$2*L52</f>
        <v>19064.39184</v>
      </c>
      <c r="P52" s="69">
        <f>MATCH(D52,'OGB Contributions'!A:A,0)</f>
        <v>154</v>
      </c>
      <c r="Q52" s="58">
        <f>INDEX('OGB Contributions'!B:B,Sheet1!P52)</f>
        <v>771.54</v>
      </c>
      <c r="R52" s="61">
        <f t="shared" ref="R52" si="11">Q52*12</f>
        <v>9258.48</v>
      </c>
      <c r="T52" s="58">
        <f t="shared" ref="T52" si="12">SUM(L52,M52,N52,O52,R52,S52)</f>
        <v>84432.026239999992</v>
      </c>
    </row>
    <row r="53" spans="1:20" s="8" customFormat="1" x14ac:dyDescent="0.2">
      <c r="A53" s="36">
        <v>95</v>
      </c>
      <c r="B53" s="37" t="s">
        <v>632</v>
      </c>
      <c r="C53" s="8" t="s">
        <v>75</v>
      </c>
      <c r="D53" s="9" t="s">
        <v>622</v>
      </c>
      <c r="F53" s="10">
        <v>30.87</v>
      </c>
      <c r="G53" s="11">
        <f>F53*K53*80</f>
        <v>2469.6</v>
      </c>
      <c r="H53" s="8" t="s">
        <v>618</v>
      </c>
      <c r="I53" s="8" t="s">
        <v>50</v>
      </c>
      <c r="J53" s="131" t="s">
        <v>634</v>
      </c>
      <c r="K53" s="12">
        <v>1</v>
      </c>
      <c r="L53" s="38">
        <f>+G53*26</f>
        <v>64209.599999999999</v>
      </c>
      <c r="M53" s="13"/>
      <c r="N53" s="64">
        <f>L53*N2</f>
        <v>931.03920000000005</v>
      </c>
      <c r="O53" s="62">
        <f>$O$2*L53</f>
        <v>22133.04912</v>
      </c>
      <c r="P53" s="70"/>
      <c r="Q53" s="67"/>
      <c r="R53" s="73">
        <f>Q53*12</f>
        <v>0</v>
      </c>
      <c r="T53" s="67">
        <f>SUM(L53,M53,N53,O53,R53,S53)</f>
        <v>87273.688320000001</v>
      </c>
    </row>
    <row r="54" spans="1:20" x14ac:dyDescent="0.2">
      <c r="A54" s="30">
        <v>95</v>
      </c>
      <c r="B54" s="29" t="s">
        <v>632</v>
      </c>
      <c r="C54" s="3" t="s">
        <v>75</v>
      </c>
      <c r="D54" s="3" t="s">
        <v>185</v>
      </c>
      <c r="E54" s="3" t="s">
        <v>186</v>
      </c>
      <c r="F54" s="4">
        <v>25.15</v>
      </c>
      <c r="G54" s="1">
        <f>F54*K54*80</f>
        <v>2012</v>
      </c>
      <c r="H54" s="3" t="s">
        <v>618</v>
      </c>
      <c r="I54" s="3" t="s">
        <v>3</v>
      </c>
      <c r="J54" s="3" t="s">
        <v>187</v>
      </c>
      <c r="K54" s="5">
        <v>1</v>
      </c>
      <c r="L54" s="4">
        <v>52312</v>
      </c>
      <c r="M54" s="6"/>
      <c r="N54" s="63">
        <f>L54*N2</f>
        <v>758.524</v>
      </c>
      <c r="O54" s="60">
        <f>$O$2*L54</f>
        <v>18031.946400000001</v>
      </c>
      <c r="P54" s="69">
        <f>MATCH(D54,'OGB Contributions'!A:A,0)</f>
        <v>89</v>
      </c>
      <c r="Q54" s="58">
        <f>INDEX('OGB Contributions'!B:B,Sheet1!P54)</f>
        <v>786.54</v>
      </c>
      <c r="R54" s="61">
        <f>Q54*12</f>
        <v>9438.48</v>
      </c>
      <c r="S54" s="3">
        <f>12*74.94</f>
        <v>899.28</v>
      </c>
      <c r="T54" s="58">
        <f>SUM(L54,M54,N54,O54,R54,S54)</f>
        <v>81440.230399999986</v>
      </c>
    </row>
    <row r="55" spans="1:20" x14ac:dyDescent="0.2">
      <c r="A55" s="2">
        <v>95</v>
      </c>
      <c r="B55" s="29" t="s">
        <v>632</v>
      </c>
      <c r="C55" s="3" t="s">
        <v>72</v>
      </c>
      <c r="D55" s="3" t="s">
        <v>200</v>
      </c>
      <c r="E55" s="3" t="s">
        <v>201</v>
      </c>
      <c r="F55" s="4">
        <v>34.24</v>
      </c>
      <c r="G55" s="1">
        <f>F55*K55*80</f>
        <v>2739.2000000000003</v>
      </c>
      <c r="H55" s="3" t="s">
        <v>618</v>
      </c>
      <c r="I55" s="3" t="s">
        <v>43</v>
      </c>
      <c r="J55" s="3" t="s">
        <v>202</v>
      </c>
      <c r="K55" s="5">
        <v>1</v>
      </c>
      <c r="L55" s="4">
        <v>71219.199999999997</v>
      </c>
      <c r="M55" s="6"/>
      <c r="N55" s="63">
        <f>L55*N2</f>
        <v>1032.6784</v>
      </c>
      <c r="O55" s="60">
        <f>$O$2*L55</f>
        <v>24549.258239999999</v>
      </c>
      <c r="P55" s="69">
        <f>MATCH(D55,'OGB Contributions'!A:A,0)</f>
        <v>111</v>
      </c>
      <c r="Q55" s="58">
        <f>INDEX('OGB Contributions'!B:B,Sheet1!P55)</f>
        <v>668.84</v>
      </c>
      <c r="R55" s="61">
        <f>Q55*12</f>
        <v>8026.08</v>
      </c>
      <c r="S55" s="3">
        <f>12*32.08</f>
        <v>384.96</v>
      </c>
      <c r="T55" s="58">
        <f>SUM(L55,M55,N55,O55,R55,S55)</f>
        <v>105212.17664000001</v>
      </c>
    </row>
    <row r="56" spans="1:20" s="22" customFormat="1" ht="13.5" thickBot="1" x14ac:dyDescent="0.25">
      <c r="D56" s="28" t="s">
        <v>625</v>
      </c>
      <c r="F56" s="23"/>
      <c r="G56" s="35"/>
      <c r="K56" s="24"/>
      <c r="L56" s="23">
        <f>SUM(L51:L55)*0.03</f>
        <v>9632.0639999999985</v>
      </c>
      <c r="M56" s="25"/>
      <c r="T56" s="66">
        <f>L56</f>
        <v>9632.0639999999985</v>
      </c>
    </row>
    <row r="57" spans="1:20" s="14" customFormat="1" x14ac:dyDescent="0.2">
      <c r="A57" s="14">
        <v>170</v>
      </c>
      <c r="B57" s="14" t="s">
        <v>139</v>
      </c>
      <c r="C57" s="14" t="s">
        <v>75</v>
      </c>
      <c r="D57" s="14" t="s">
        <v>140</v>
      </c>
      <c r="E57" s="14" t="s">
        <v>141</v>
      </c>
      <c r="F57" s="15">
        <v>22.82</v>
      </c>
      <c r="G57" s="1">
        <f t="shared" ref="G57:G62" si="13">F57*K57*80</f>
        <v>1825.6</v>
      </c>
      <c r="H57" s="14" t="s">
        <v>618</v>
      </c>
      <c r="I57" s="14" t="s">
        <v>3</v>
      </c>
      <c r="J57" s="14" t="s">
        <v>142</v>
      </c>
      <c r="K57" s="16">
        <v>1</v>
      </c>
      <c r="L57" s="15">
        <v>47465.599999999999</v>
      </c>
      <c r="M57" s="17"/>
      <c r="N57" s="63">
        <f>N2*L57</f>
        <v>688.25120000000004</v>
      </c>
      <c r="O57" s="63">
        <f>$O$2*L57</f>
        <v>16361.392319999999</v>
      </c>
      <c r="P57" s="69" t="e">
        <f>MATCH(D57,'OGB Contributions'!A:A,0)</f>
        <v>#N/A</v>
      </c>
      <c r="Q57" s="58" t="e">
        <f>INDEX('OGB Contributions'!B:B,Sheet1!P57)</f>
        <v>#N/A</v>
      </c>
      <c r="R57" s="61">
        <f>12*654.74</f>
        <v>7856.88</v>
      </c>
      <c r="T57" s="58">
        <f t="shared" ref="T57:T83" si="14">SUM(L57,M57,N57,O57,R57,S57)</f>
        <v>72372.123519999994</v>
      </c>
    </row>
    <row r="58" spans="1:20" x14ac:dyDescent="0.2">
      <c r="A58" s="14">
        <v>170</v>
      </c>
      <c r="B58" s="3" t="s">
        <v>139</v>
      </c>
      <c r="C58" s="3" t="s">
        <v>143</v>
      </c>
      <c r="D58" s="3" t="s">
        <v>144</v>
      </c>
      <c r="E58" s="3" t="s">
        <v>145</v>
      </c>
      <c r="F58" s="4">
        <v>17.309999999999999</v>
      </c>
      <c r="G58" s="1">
        <f t="shared" si="13"/>
        <v>1384.8</v>
      </c>
      <c r="H58" s="3" t="s">
        <v>618</v>
      </c>
      <c r="I58" s="3" t="s">
        <v>128</v>
      </c>
      <c r="J58" s="3" t="s">
        <v>146</v>
      </c>
      <c r="K58" s="5">
        <v>1</v>
      </c>
      <c r="L58" s="4">
        <v>36000</v>
      </c>
      <c r="M58" s="6"/>
      <c r="N58" s="63">
        <f>N2*L58</f>
        <v>522</v>
      </c>
      <c r="O58" s="63">
        <f t="shared" ref="O58:O62" si="15">$O$2*L58</f>
        <v>12409.2</v>
      </c>
      <c r="P58" s="69" t="e">
        <f>MATCH(D58,'OGB Contributions'!A:A,0)</f>
        <v>#N/A</v>
      </c>
      <c r="Q58" s="58" t="e">
        <f>INDEX('OGB Contributions'!B:B,Sheet1!P58)</f>
        <v>#N/A</v>
      </c>
      <c r="R58" s="61"/>
      <c r="T58" s="58">
        <f t="shared" si="14"/>
        <v>48931.199999999997</v>
      </c>
    </row>
    <row r="59" spans="1:20" x14ac:dyDescent="0.2">
      <c r="A59" s="14">
        <v>170</v>
      </c>
      <c r="B59" s="3" t="s">
        <v>139</v>
      </c>
      <c r="C59" s="3" t="s">
        <v>72</v>
      </c>
      <c r="D59" s="3" t="s">
        <v>150</v>
      </c>
      <c r="E59" s="3" t="s">
        <v>151</v>
      </c>
      <c r="F59" s="4">
        <v>32.68</v>
      </c>
      <c r="G59" s="1">
        <f t="shared" si="13"/>
        <v>2614.4</v>
      </c>
      <c r="H59" s="3" t="s">
        <v>618</v>
      </c>
      <c r="I59" s="3" t="s">
        <v>43</v>
      </c>
      <c r="J59" s="3" t="s">
        <v>152</v>
      </c>
      <c r="K59" s="5">
        <v>1</v>
      </c>
      <c r="L59" s="4">
        <v>67974.399999999994</v>
      </c>
      <c r="M59" s="6"/>
      <c r="N59" s="63">
        <f>N2*L59</f>
        <v>985.62879999999996</v>
      </c>
      <c r="O59" s="63">
        <f t="shared" si="15"/>
        <v>23430.775679999999</v>
      </c>
      <c r="P59" s="69">
        <f>MATCH(D59,'OGB Contributions'!A:A,0)</f>
        <v>84</v>
      </c>
      <c r="Q59" s="58">
        <f>INDEX('OGB Contributions'!B:B,Sheet1!P59)</f>
        <v>656.04</v>
      </c>
      <c r="R59" s="61">
        <f>Q59*12</f>
        <v>7872.48</v>
      </c>
      <c r="S59" s="3">
        <f>12*32.08</f>
        <v>384.96</v>
      </c>
      <c r="T59" s="58">
        <f t="shared" si="14"/>
        <v>100648.24447999999</v>
      </c>
    </row>
    <row r="60" spans="1:20" x14ac:dyDescent="0.2">
      <c r="A60" s="14">
        <v>170</v>
      </c>
      <c r="B60" s="3" t="s">
        <v>139</v>
      </c>
      <c r="C60" s="3" t="s">
        <v>75</v>
      </c>
      <c r="D60" s="3" t="s">
        <v>153</v>
      </c>
      <c r="E60" s="3" t="s">
        <v>154</v>
      </c>
      <c r="F60" s="4">
        <v>21.86</v>
      </c>
      <c r="G60" s="1">
        <f t="shared" si="13"/>
        <v>1748.8</v>
      </c>
      <c r="H60" s="3" t="s">
        <v>618</v>
      </c>
      <c r="I60" s="3" t="s">
        <v>3</v>
      </c>
      <c r="J60" s="3" t="s">
        <v>155</v>
      </c>
      <c r="K60" s="5">
        <v>1</v>
      </c>
      <c r="L60" s="4">
        <v>45468.800000000003</v>
      </c>
      <c r="M60" s="6"/>
      <c r="N60" s="63">
        <f>N2*L60</f>
        <v>659.2976000000001</v>
      </c>
      <c r="O60" s="63">
        <f t="shared" si="15"/>
        <v>15673.095360000001</v>
      </c>
      <c r="P60" s="69" t="e">
        <f>MATCH(D60,'OGB Contributions'!A:A,0)</f>
        <v>#N/A</v>
      </c>
      <c r="Q60" s="58" t="e">
        <f>INDEX('OGB Contributions'!B:B,Sheet1!P60)</f>
        <v>#N/A</v>
      </c>
      <c r="R60" s="61"/>
      <c r="T60" s="58">
        <f t="shared" si="14"/>
        <v>61801.19296</v>
      </c>
    </row>
    <row r="61" spans="1:20" x14ac:dyDescent="0.2">
      <c r="A61" s="14">
        <v>170</v>
      </c>
      <c r="B61" s="3" t="s">
        <v>139</v>
      </c>
      <c r="C61" s="3" t="s">
        <v>67</v>
      </c>
      <c r="D61" s="3" t="s">
        <v>156</v>
      </c>
      <c r="E61" s="3" t="s">
        <v>157</v>
      </c>
      <c r="F61" s="4">
        <v>51.99</v>
      </c>
      <c r="G61" s="1">
        <f t="shared" si="13"/>
        <v>4159.2</v>
      </c>
      <c r="H61" s="3" t="s">
        <v>618</v>
      </c>
      <c r="I61" s="3" t="s">
        <v>70</v>
      </c>
      <c r="J61" s="3" t="s">
        <v>158</v>
      </c>
      <c r="K61" s="5">
        <v>1</v>
      </c>
      <c r="L61" s="4">
        <v>108139.2</v>
      </c>
      <c r="M61" s="6"/>
      <c r="N61" s="63">
        <f>N2*L61</f>
        <v>1568.0183999999999</v>
      </c>
      <c r="O61" s="63">
        <f t="shared" si="15"/>
        <v>37275.582239999996</v>
      </c>
      <c r="P61" s="69">
        <f>MATCH(D61,'OGB Contributions'!A:A,0)</f>
        <v>123</v>
      </c>
      <c r="Q61" s="58">
        <f>INDEX('OGB Contributions'!B:B,Sheet1!P61)</f>
        <v>1194.3599999999999</v>
      </c>
      <c r="R61" s="61">
        <f>Q61*12</f>
        <v>14332.32</v>
      </c>
      <c r="S61" s="3">
        <f>81.96*12</f>
        <v>983.52</v>
      </c>
      <c r="T61" s="58">
        <f t="shared" si="14"/>
        <v>162298.64064</v>
      </c>
    </row>
    <row r="62" spans="1:20" x14ac:dyDescent="0.2">
      <c r="A62" s="14">
        <v>170</v>
      </c>
      <c r="B62" s="3" t="s">
        <v>139</v>
      </c>
      <c r="C62" s="3" t="s">
        <v>118</v>
      </c>
      <c r="D62" s="32" t="s">
        <v>843</v>
      </c>
      <c r="E62" s="3" t="s">
        <v>159</v>
      </c>
      <c r="F62" s="4">
        <v>34.58</v>
      </c>
      <c r="G62" s="1">
        <f t="shared" si="13"/>
        <v>2766.3999999999996</v>
      </c>
      <c r="H62" s="3" t="s">
        <v>618</v>
      </c>
      <c r="I62" s="3" t="s">
        <v>22</v>
      </c>
      <c r="J62" s="3" t="s">
        <v>160</v>
      </c>
      <c r="K62" s="5">
        <v>1</v>
      </c>
      <c r="L62" s="4">
        <v>71926.399999999994</v>
      </c>
      <c r="M62" s="6"/>
      <c r="N62" s="63">
        <f>N2*L62</f>
        <v>1042.9328</v>
      </c>
      <c r="O62" s="63">
        <f t="shared" si="15"/>
        <v>24793.030079999997</v>
      </c>
      <c r="P62" s="69">
        <f>MATCH(D62,'OGB Contributions'!A:A,0)</f>
        <v>125</v>
      </c>
      <c r="Q62" s="58">
        <f>INDEX('OGB Contributions'!B:B,Sheet1!P62)</f>
        <v>37</v>
      </c>
      <c r="R62" s="61">
        <f>Q62*12</f>
        <v>444</v>
      </c>
      <c r="S62" s="3">
        <f>26.92*12</f>
        <v>323.04000000000002</v>
      </c>
      <c r="T62" s="58">
        <f t="shared" si="14"/>
        <v>98529.40287999998</v>
      </c>
    </row>
    <row r="63" spans="1:20" s="22" customFormat="1" ht="13.5" thickBot="1" x14ac:dyDescent="0.25">
      <c r="D63" s="28" t="s">
        <v>625</v>
      </c>
      <c r="F63" s="23"/>
      <c r="G63" s="23"/>
      <c r="K63" s="24"/>
      <c r="L63" s="23">
        <f>SUM(L57:L62)*0.03</f>
        <v>11309.232</v>
      </c>
      <c r="M63" s="25"/>
      <c r="O63" s="66"/>
      <c r="P63" s="66"/>
      <c r="Q63" s="66"/>
      <c r="T63" s="66">
        <f>L63</f>
        <v>11309.232</v>
      </c>
    </row>
    <row r="64" spans="1:20" s="14" customFormat="1" x14ac:dyDescent="0.2">
      <c r="A64" s="14">
        <v>172</v>
      </c>
      <c r="B64" s="14" t="s">
        <v>161</v>
      </c>
      <c r="C64" s="14" t="s">
        <v>75</v>
      </c>
      <c r="D64" s="14" t="s">
        <v>162</v>
      </c>
      <c r="E64" s="14" t="s">
        <v>163</v>
      </c>
      <c r="F64" s="15">
        <v>27.7</v>
      </c>
      <c r="G64" s="1">
        <f t="shared" ref="G64:G76" si="16">F64*K64*80</f>
        <v>2216</v>
      </c>
      <c r="H64" s="14" t="s">
        <v>618</v>
      </c>
      <c r="I64" s="14" t="s">
        <v>3</v>
      </c>
      <c r="J64" s="14" t="s">
        <v>164</v>
      </c>
      <c r="K64" s="16">
        <v>1</v>
      </c>
      <c r="L64" s="15">
        <v>57616</v>
      </c>
      <c r="M64" s="17"/>
      <c r="N64" s="63">
        <f>$N$2*L64</f>
        <v>835.43200000000002</v>
      </c>
      <c r="O64" s="63">
        <f t="shared" ref="O64:O76" si="17">$O$2*L64</f>
        <v>19860.235199999999</v>
      </c>
      <c r="P64" s="69">
        <f>MATCH(D64,'OGB Contributions'!A:A,0)</f>
        <v>7</v>
      </c>
      <c r="Q64" s="58">
        <f>INDEX('OGB Contributions'!B:B,Sheet1!P64)</f>
        <v>554.17999999999995</v>
      </c>
      <c r="R64" s="61">
        <f t="shared" ref="R64:R83" si="18">Q64*12</f>
        <v>6650.16</v>
      </c>
      <c r="S64" s="14">
        <f>13.85*12</f>
        <v>166.2</v>
      </c>
      <c r="T64" s="58">
        <f t="shared" si="14"/>
        <v>85128.027199999997</v>
      </c>
    </row>
    <row r="65" spans="1:20" s="8" customFormat="1" x14ac:dyDescent="0.2">
      <c r="A65" s="18">
        <v>172</v>
      </c>
      <c r="B65" s="8" t="s">
        <v>161</v>
      </c>
      <c r="C65" s="8" t="s">
        <v>75</v>
      </c>
      <c r="D65" s="42" t="s">
        <v>622</v>
      </c>
      <c r="F65" s="10">
        <v>25</v>
      </c>
      <c r="G65" s="11">
        <f t="shared" si="16"/>
        <v>2000</v>
      </c>
      <c r="H65" s="8" t="s">
        <v>618</v>
      </c>
      <c r="I65" s="8" t="s">
        <v>3</v>
      </c>
      <c r="J65" s="8" t="s">
        <v>166</v>
      </c>
      <c r="K65" s="12">
        <v>1</v>
      </c>
      <c r="L65" s="10">
        <v>52000</v>
      </c>
      <c r="M65" s="13"/>
      <c r="N65" s="64">
        <f t="shared" ref="N65:N76" si="19">$N$2*L65</f>
        <v>754</v>
      </c>
      <c r="O65" s="64">
        <f t="shared" si="17"/>
        <v>17924.400000000001</v>
      </c>
      <c r="P65" s="70" t="e">
        <f>MATCH(D65,'OGB Contributions'!A:A,0)</f>
        <v>#N/A</v>
      </c>
      <c r="Q65" s="67" t="e">
        <f>INDEX('OGB Contributions'!B:B,Sheet1!P65)</f>
        <v>#N/A</v>
      </c>
      <c r="R65" s="73"/>
      <c r="T65" s="67">
        <f t="shared" si="14"/>
        <v>70678.399999999994</v>
      </c>
    </row>
    <row r="66" spans="1:20" x14ac:dyDescent="0.2">
      <c r="A66" s="14">
        <v>172</v>
      </c>
      <c r="B66" s="3" t="s">
        <v>161</v>
      </c>
      <c r="C66" s="3" t="s">
        <v>130</v>
      </c>
      <c r="D66" s="3" t="s">
        <v>167</v>
      </c>
      <c r="E66" s="3" t="s">
        <v>168</v>
      </c>
      <c r="F66" s="4">
        <v>21.4</v>
      </c>
      <c r="G66" s="1">
        <f t="shared" si="16"/>
        <v>1712</v>
      </c>
      <c r="H66" s="3" t="s">
        <v>618</v>
      </c>
      <c r="I66" s="3" t="s">
        <v>50</v>
      </c>
      <c r="J66" s="3" t="s">
        <v>169</v>
      </c>
      <c r="K66" s="5">
        <v>1</v>
      </c>
      <c r="L66" s="4">
        <v>44512</v>
      </c>
      <c r="M66" s="68">
        <f>(F66*10.5%)*2080</f>
        <v>4673.76</v>
      </c>
      <c r="N66" s="63">
        <f t="shared" si="19"/>
        <v>645.42399999999998</v>
      </c>
      <c r="O66" s="63">
        <f t="shared" si="17"/>
        <v>15343.286400000001</v>
      </c>
      <c r="P66" s="69" t="e">
        <f>MATCH(D66,'OGB Contributions'!A:A,0)</f>
        <v>#N/A</v>
      </c>
      <c r="Q66" s="58" t="e">
        <f>INDEX('OGB Contributions'!B:B,Sheet1!P66)</f>
        <v>#N/A</v>
      </c>
      <c r="R66" s="61"/>
      <c r="S66" s="3">
        <f>26.92*12</f>
        <v>323.04000000000002</v>
      </c>
      <c r="T66" s="58">
        <f t="shared" si="14"/>
        <v>65497.510400000006</v>
      </c>
    </row>
    <row r="67" spans="1:20" x14ac:dyDescent="0.2">
      <c r="A67" s="14">
        <v>172</v>
      </c>
      <c r="B67" s="3" t="s">
        <v>161</v>
      </c>
      <c r="C67" s="3" t="s">
        <v>118</v>
      </c>
      <c r="D67" s="3" t="s">
        <v>170</v>
      </c>
      <c r="E67" s="3" t="s">
        <v>171</v>
      </c>
      <c r="F67" s="4">
        <v>39.119999999999997</v>
      </c>
      <c r="G67" s="1">
        <f t="shared" si="16"/>
        <v>3129.6</v>
      </c>
      <c r="H67" s="3" t="s">
        <v>618</v>
      </c>
      <c r="I67" s="3" t="s">
        <v>22</v>
      </c>
      <c r="J67" s="3" t="s">
        <v>172</v>
      </c>
      <c r="K67" s="5">
        <v>1</v>
      </c>
      <c r="L67" s="4">
        <v>81369.600000000006</v>
      </c>
      <c r="M67" s="6"/>
      <c r="N67" s="63">
        <f t="shared" si="19"/>
        <v>1179.8592000000001</v>
      </c>
      <c r="O67" s="63">
        <f t="shared" si="17"/>
        <v>28048.101120000003</v>
      </c>
      <c r="P67" s="69">
        <f>MATCH(D67,'OGB Contributions'!A:A,0)</f>
        <v>28</v>
      </c>
      <c r="Q67" s="58">
        <f>INDEX('OGB Contributions'!B:B,Sheet1!P67)</f>
        <v>749.54</v>
      </c>
      <c r="R67" s="61">
        <f t="shared" si="18"/>
        <v>8994.48</v>
      </c>
      <c r="S67" s="3">
        <f>26.92*12</f>
        <v>323.04000000000002</v>
      </c>
      <c r="T67" s="58">
        <f t="shared" si="14"/>
        <v>119915.08032000001</v>
      </c>
    </row>
    <row r="68" spans="1:20" x14ac:dyDescent="0.2">
      <c r="A68" s="14">
        <v>172</v>
      </c>
      <c r="B68" s="3" t="s">
        <v>161</v>
      </c>
      <c r="C68" s="3" t="s">
        <v>105</v>
      </c>
      <c r="D68" s="3" t="s">
        <v>173</v>
      </c>
      <c r="E68" s="3" t="s">
        <v>174</v>
      </c>
      <c r="F68" s="4">
        <v>23.78</v>
      </c>
      <c r="G68" s="1">
        <f t="shared" si="16"/>
        <v>1902.4</v>
      </c>
      <c r="H68" s="3" t="s">
        <v>618</v>
      </c>
      <c r="I68" s="3" t="s">
        <v>8</v>
      </c>
      <c r="J68" s="3" t="s">
        <v>175</v>
      </c>
      <c r="K68" s="5">
        <v>1</v>
      </c>
      <c r="L68" s="4">
        <v>49462</v>
      </c>
      <c r="M68" s="68">
        <f>(F68*7%)*2080</f>
        <v>3462.3680000000008</v>
      </c>
      <c r="N68" s="63">
        <f t="shared" si="19"/>
        <v>717.19900000000007</v>
      </c>
      <c r="O68" s="63">
        <f t="shared" si="17"/>
        <v>17049.5514</v>
      </c>
      <c r="P68" s="69" t="e">
        <f>MATCH(D68,'OGB Contributions'!A:A,0)</f>
        <v>#N/A</v>
      </c>
      <c r="Q68" s="58" t="e">
        <f>INDEX('OGB Contributions'!B:B,Sheet1!P68)</f>
        <v>#N/A</v>
      </c>
      <c r="R68" s="61"/>
      <c r="T68" s="58">
        <f t="shared" si="14"/>
        <v>70691.118400000007</v>
      </c>
    </row>
    <row r="69" spans="1:20" x14ac:dyDescent="0.2">
      <c r="A69" s="14">
        <v>172</v>
      </c>
      <c r="B69" s="3" t="s">
        <v>161</v>
      </c>
      <c r="C69" s="3" t="s">
        <v>67</v>
      </c>
      <c r="D69" s="3" t="s">
        <v>176</v>
      </c>
      <c r="E69" s="3" t="s">
        <v>177</v>
      </c>
      <c r="F69" s="4">
        <v>51.92</v>
      </c>
      <c r="G69" s="1">
        <f t="shared" si="16"/>
        <v>4153.6000000000004</v>
      </c>
      <c r="H69" s="3" t="s">
        <v>618</v>
      </c>
      <c r="I69" s="3" t="s">
        <v>70</v>
      </c>
      <c r="J69" s="3" t="s">
        <v>178</v>
      </c>
      <c r="K69" s="5">
        <v>1</v>
      </c>
      <c r="L69" s="4">
        <v>108000</v>
      </c>
      <c r="M69" s="6"/>
      <c r="N69" s="63">
        <f t="shared" si="19"/>
        <v>1566</v>
      </c>
      <c r="O69" s="63">
        <f t="shared" si="17"/>
        <v>37227.599999999999</v>
      </c>
      <c r="P69" s="69">
        <f>MATCH(D69,'OGB Contributions'!A:A,0)</f>
        <v>68</v>
      </c>
      <c r="Q69" s="58">
        <f>INDEX('OGB Contributions'!B:B,Sheet1!P69)</f>
        <v>1203.3599999999999</v>
      </c>
      <c r="R69" s="61">
        <f t="shared" si="18"/>
        <v>14440.32</v>
      </c>
      <c r="S69" s="3">
        <f>12*109.16</f>
        <v>1309.92</v>
      </c>
      <c r="T69" s="58">
        <f t="shared" si="14"/>
        <v>162543.84000000003</v>
      </c>
    </row>
    <row r="70" spans="1:20" x14ac:dyDescent="0.2">
      <c r="A70" s="14">
        <v>172</v>
      </c>
      <c r="B70" s="3" t="s">
        <v>161</v>
      </c>
      <c r="C70" s="3" t="s">
        <v>143</v>
      </c>
      <c r="D70" s="3" t="s">
        <v>179</v>
      </c>
      <c r="E70" s="3" t="s">
        <v>180</v>
      </c>
      <c r="F70" s="4">
        <v>17.55</v>
      </c>
      <c r="G70" s="1">
        <f t="shared" si="16"/>
        <v>1404</v>
      </c>
      <c r="H70" s="3" t="s">
        <v>618</v>
      </c>
      <c r="I70" s="3" t="s">
        <v>128</v>
      </c>
      <c r="J70" s="3" t="s">
        <v>181</v>
      </c>
      <c r="K70" s="5">
        <v>1</v>
      </c>
      <c r="L70" s="4">
        <v>36500</v>
      </c>
      <c r="M70" s="6"/>
      <c r="N70" s="63">
        <f t="shared" si="19"/>
        <v>529.25</v>
      </c>
      <c r="O70" s="63">
        <f t="shared" si="17"/>
        <v>12581.550000000001</v>
      </c>
      <c r="P70" s="69">
        <f>MATCH(D70,'OGB Contributions'!A:A,0)</f>
        <v>69</v>
      </c>
      <c r="Q70" s="58">
        <f>INDEX('OGB Contributions'!B:B,Sheet1!P70)</f>
        <v>6</v>
      </c>
      <c r="R70" s="61">
        <f t="shared" si="18"/>
        <v>72</v>
      </c>
      <c r="S70" s="3">
        <f>58.54*12</f>
        <v>702.48</v>
      </c>
      <c r="T70" s="58">
        <f t="shared" si="14"/>
        <v>50385.280000000006</v>
      </c>
    </row>
    <row r="71" spans="1:20" x14ac:dyDescent="0.2">
      <c r="A71" s="14">
        <v>172</v>
      </c>
      <c r="B71" s="3" t="s">
        <v>161</v>
      </c>
      <c r="C71" s="3" t="s">
        <v>75</v>
      </c>
      <c r="D71" s="3" t="s">
        <v>182</v>
      </c>
      <c r="E71" s="3" t="s">
        <v>183</v>
      </c>
      <c r="F71" s="4">
        <v>26.12</v>
      </c>
      <c r="G71" s="1">
        <f t="shared" si="16"/>
        <v>2089.6</v>
      </c>
      <c r="H71" s="3" t="s">
        <v>618</v>
      </c>
      <c r="I71" s="3" t="s">
        <v>3</v>
      </c>
      <c r="J71" s="3" t="s">
        <v>184</v>
      </c>
      <c r="K71" s="5">
        <v>1</v>
      </c>
      <c r="L71" s="4">
        <v>54329.599999999999</v>
      </c>
      <c r="M71" s="6"/>
      <c r="N71" s="63">
        <f t="shared" si="19"/>
        <v>787.77920000000006</v>
      </c>
      <c r="O71" s="63">
        <f t="shared" si="17"/>
        <v>18727.413120000001</v>
      </c>
      <c r="P71" s="69">
        <f>MATCH(D71,'OGB Contributions'!A:A,0)</f>
        <v>87</v>
      </c>
      <c r="Q71" s="58">
        <f>INDEX('OGB Contributions'!B:B,Sheet1!P71)</f>
        <v>656.04</v>
      </c>
      <c r="R71" s="61">
        <f t="shared" si="18"/>
        <v>7872.48</v>
      </c>
      <c r="S71" s="3">
        <f>26.92*12</f>
        <v>323.04000000000002</v>
      </c>
      <c r="T71" s="58">
        <f t="shared" si="14"/>
        <v>82040.312319999983</v>
      </c>
    </row>
    <row r="72" spans="1:20" x14ac:dyDescent="0.2">
      <c r="A72" s="14">
        <v>172</v>
      </c>
      <c r="B72" s="3" t="s">
        <v>161</v>
      </c>
      <c r="C72" s="3" t="s">
        <v>75</v>
      </c>
      <c r="D72" s="3" t="s">
        <v>188</v>
      </c>
      <c r="E72" s="3" t="s">
        <v>189</v>
      </c>
      <c r="F72" s="4">
        <v>30.15</v>
      </c>
      <c r="G72" s="1">
        <f t="shared" si="16"/>
        <v>2412</v>
      </c>
      <c r="H72" s="3" t="s">
        <v>618</v>
      </c>
      <c r="I72" s="3" t="s">
        <v>3</v>
      </c>
      <c r="J72" s="3" t="s">
        <v>190</v>
      </c>
      <c r="K72" s="5">
        <v>1</v>
      </c>
      <c r="L72" s="4">
        <v>62712</v>
      </c>
      <c r="M72" s="6"/>
      <c r="N72" s="63">
        <f t="shared" si="19"/>
        <v>909.32400000000007</v>
      </c>
      <c r="O72" s="63">
        <f t="shared" si="17"/>
        <v>21616.826400000002</v>
      </c>
      <c r="P72" s="69">
        <f>MATCH(D72,'OGB Contributions'!A:A,0)</f>
        <v>98</v>
      </c>
      <c r="Q72" s="58">
        <f>INDEX('OGB Contributions'!B:B,Sheet1!P72)</f>
        <v>690.84</v>
      </c>
      <c r="R72" s="61">
        <f t="shared" si="18"/>
        <v>8290.08</v>
      </c>
      <c r="S72" s="3">
        <f>12*74.94</f>
        <v>899.28</v>
      </c>
      <c r="T72" s="58">
        <f t="shared" si="14"/>
        <v>94427.510399999999</v>
      </c>
    </row>
    <row r="73" spans="1:20" x14ac:dyDescent="0.2">
      <c r="A73" s="14">
        <v>172</v>
      </c>
      <c r="B73" s="3" t="s">
        <v>161</v>
      </c>
      <c r="C73" s="3" t="s">
        <v>75</v>
      </c>
      <c r="D73" s="3" t="s">
        <v>191</v>
      </c>
      <c r="E73" s="3" t="s">
        <v>192</v>
      </c>
      <c r="F73" s="4">
        <v>36.450000000000003</v>
      </c>
      <c r="G73" s="1">
        <f t="shared" si="16"/>
        <v>2916</v>
      </c>
      <c r="H73" s="3" t="s">
        <v>618</v>
      </c>
      <c r="I73" s="3" t="s">
        <v>3</v>
      </c>
      <c r="J73" s="3" t="s">
        <v>193</v>
      </c>
      <c r="K73" s="5">
        <v>1</v>
      </c>
      <c r="L73" s="4">
        <v>75816</v>
      </c>
      <c r="M73" s="6"/>
      <c r="N73" s="63">
        <f t="shared" si="19"/>
        <v>1099.3320000000001</v>
      </c>
      <c r="O73" s="63">
        <f t="shared" si="17"/>
        <v>26133.7752</v>
      </c>
      <c r="P73" s="69">
        <f>MATCH(D73,'OGB Contributions'!A:A,0)</f>
        <v>100</v>
      </c>
      <c r="Q73" s="58">
        <f>INDEX('OGB Contributions'!B:B,Sheet1!P73)</f>
        <v>720.84</v>
      </c>
      <c r="R73" s="61">
        <f t="shared" si="18"/>
        <v>8650.08</v>
      </c>
      <c r="S73" s="3">
        <f>12*32.08</f>
        <v>384.96</v>
      </c>
      <c r="T73" s="58">
        <f t="shared" si="14"/>
        <v>112084.14720000001</v>
      </c>
    </row>
    <row r="74" spans="1:20" x14ac:dyDescent="0.2">
      <c r="A74" s="14">
        <v>172</v>
      </c>
      <c r="B74" s="3" t="s">
        <v>161</v>
      </c>
      <c r="C74" s="3" t="s">
        <v>75</v>
      </c>
      <c r="D74" s="3" t="s">
        <v>197</v>
      </c>
      <c r="E74" s="3" t="s">
        <v>198</v>
      </c>
      <c r="F74" s="4">
        <v>33.01</v>
      </c>
      <c r="G74" s="1">
        <f t="shared" si="16"/>
        <v>0</v>
      </c>
      <c r="H74" s="3" t="s">
        <v>618</v>
      </c>
      <c r="I74" s="3" t="s">
        <v>3</v>
      </c>
      <c r="J74" s="3" t="s">
        <v>199</v>
      </c>
      <c r="K74" s="5">
        <v>0</v>
      </c>
      <c r="L74" s="4">
        <v>68660.800000000003</v>
      </c>
      <c r="M74" s="6"/>
      <c r="N74" s="63">
        <f t="shared" si="19"/>
        <v>995.58160000000009</v>
      </c>
      <c r="O74" s="63">
        <f t="shared" si="17"/>
        <v>23667.377760000003</v>
      </c>
      <c r="P74" s="69"/>
      <c r="Q74" s="58"/>
      <c r="R74" s="61">
        <f t="shared" si="18"/>
        <v>0</v>
      </c>
      <c r="T74" s="58">
        <f t="shared" si="14"/>
        <v>93323.759360000011</v>
      </c>
    </row>
    <row r="75" spans="1:20" x14ac:dyDescent="0.2">
      <c r="A75" s="14">
        <v>172</v>
      </c>
      <c r="B75" s="3" t="s">
        <v>161</v>
      </c>
      <c r="C75" s="3" t="s">
        <v>75</v>
      </c>
      <c r="D75" s="3" t="s">
        <v>203</v>
      </c>
      <c r="E75" s="3" t="s">
        <v>204</v>
      </c>
      <c r="F75" s="4">
        <v>26.45</v>
      </c>
      <c r="G75" s="1">
        <f t="shared" si="16"/>
        <v>2116</v>
      </c>
      <c r="H75" s="3" t="s">
        <v>618</v>
      </c>
      <c r="I75" s="3" t="s">
        <v>3</v>
      </c>
      <c r="J75" s="3" t="s">
        <v>205</v>
      </c>
      <c r="K75" s="5">
        <v>1</v>
      </c>
      <c r="L75" s="4">
        <v>55016</v>
      </c>
      <c r="M75" s="6"/>
      <c r="N75" s="63">
        <f t="shared" si="19"/>
        <v>797.73200000000008</v>
      </c>
      <c r="O75" s="63">
        <f t="shared" si="17"/>
        <v>18964.015200000002</v>
      </c>
      <c r="P75" s="69">
        <f>MATCH(D75,'OGB Contributions'!A:A,0)</f>
        <v>131</v>
      </c>
      <c r="Q75" s="58">
        <f>INDEX('OGB Contributions'!B:B,Sheet1!P75)</f>
        <v>751.04</v>
      </c>
      <c r="R75" s="61">
        <f t="shared" si="18"/>
        <v>9012.48</v>
      </c>
      <c r="S75" s="3">
        <f>12*74.94</f>
        <v>899.28</v>
      </c>
      <c r="T75" s="58">
        <f t="shared" si="14"/>
        <v>84689.507200000007</v>
      </c>
    </row>
    <row r="76" spans="1:20" x14ac:dyDescent="0.2">
      <c r="A76" s="14">
        <v>172</v>
      </c>
      <c r="B76" s="3" t="s">
        <v>161</v>
      </c>
      <c r="C76" s="3" t="s">
        <v>75</v>
      </c>
      <c r="D76" s="3" t="s">
        <v>206</v>
      </c>
      <c r="E76" s="3" t="s">
        <v>207</v>
      </c>
      <c r="F76" s="4">
        <v>28.41</v>
      </c>
      <c r="G76" s="1">
        <f t="shared" si="16"/>
        <v>2272.8000000000002</v>
      </c>
      <c r="H76" s="3" t="s">
        <v>618</v>
      </c>
      <c r="I76" s="3" t="s">
        <v>3</v>
      </c>
      <c r="J76" s="3" t="s">
        <v>208</v>
      </c>
      <c r="K76" s="5">
        <v>1</v>
      </c>
      <c r="L76" s="4">
        <v>59092.800000000003</v>
      </c>
      <c r="M76" s="6"/>
      <c r="N76" s="63">
        <f t="shared" si="19"/>
        <v>856.8456000000001</v>
      </c>
      <c r="O76" s="63">
        <f t="shared" si="17"/>
        <v>20369.28816</v>
      </c>
      <c r="P76" s="69" t="e">
        <f>MATCH(D76,'OGB Contributions'!A:A,0)</f>
        <v>#N/A</v>
      </c>
      <c r="Q76" s="58" t="e">
        <f>INDEX('OGB Contributions'!B:B,Sheet1!P76)</f>
        <v>#N/A</v>
      </c>
      <c r="R76" s="61"/>
      <c r="T76" s="58">
        <f t="shared" si="14"/>
        <v>80318.93376</v>
      </c>
    </row>
    <row r="77" spans="1:20" s="22" customFormat="1" ht="13.5" thickBot="1" x14ac:dyDescent="0.25">
      <c r="D77" s="39" t="s">
        <v>625</v>
      </c>
      <c r="F77" s="23"/>
      <c r="G77" s="23"/>
      <c r="K77" s="24"/>
      <c r="L77" s="23">
        <f>SUM(L64:L73,L75:L76)*0.03</f>
        <v>22092.78</v>
      </c>
      <c r="M77" s="25"/>
      <c r="N77" s="66"/>
      <c r="T77" s="66">
        <f>L77</f>
        <v>22092.78</v>
      </c>
    </row>
    <row r="78" spans="1:20" s="18" customFormat="1" x14ac:dyDescent="0.2">
      <c r="A78" s="18">
        <v>136</v>
      </c>
      <c r="B78" s="18" t="s">
        <v>209</v>
      </c>
      <c r="C78" s="18" t="s">
        <v>210</v>
      </c>
      <c r="D78" s="54" t="s">
        <v>622</v>
      </c>
      <c r="F78" s="19">
        <v>44.05</v>
      </c>
      <c r="G78" s="11">
        <f t="shared" ref="G78:G83" si="20">F78*K78*80</f>
        <v>3524</v>
      </c>
      <c r="H78" s="18" t="s">
        <v>618</v>
      </c>
      <c r="I78" s="18" t="s">
        <v>212</v>
      </c>
      <c r="J78" s="18" t="s">
        <v>213</v>
      </c>
      <c r="K78" s="20">
        <v>1</v>
      </c>
      <c r="L78" s="19">
        <v>91624</v>
      </c>
      <c r="M78" s="21"/>
      <c r="N78" s="64">
        <f>$N$2*L78</f>
        <v>1328.548</v>
      </c>
      <c r="O78" s="62">
        <f>$O$2*L78</f>
        <v>31582.792799999999</v>
      </c>
      <c r="P78" s="70" t="e">
        <f>MATCH(D78,'OGB Contributions'!A:A,0)</f>
        <v>#N/A</v>
      </c>
      <c r="Q78" s="67" t="e">
        <f>INDEX('OGB Contributions'!B:B,Sheet1!P78)</f>
        <v>#N/A</v>
      </c>
      <c r="R78" s="73"/>
      <c r="T78" s="67">
        <f t="shared" si="14"/>
        <v>124535.34079999999</v>
      </c>
    </row>
    <row r="79" spans="1:20" x14ac:dyDescent="0.2">
      <c r="A79" s="14">
        <v>136</v>
      </c>
      <c r="B79" s="3" t="s">
        <v>209</v>
      </c>
      <c r="C79" s="3" t="s">
        <v>214</v>
      </c>
      <c r="D79" s="3" t="s">
        <v>215</v>
      </c>
      <c r="E79" s="3" t="s">
        <v>216</v>
      </c>
      <c r="F79" s="4">
        <v>28.66</v>
      </c>
      <c r="G79" s="1">
        <f t="shared" si="20"/>
        <v>2292.8000000000002</v>
      </c>
      <c r="H79" s="3" t="s">
        <v>618</v>
      </c>
      <c r="I79" s="3" t="s">
        <v>217</v>
      </c>
      <c r="J79" s="3" t="s">
        <v>218</v>
      </c>
      <c r="K79" s="5">
        <v>1</v>
      </c>
      <c r="L79" s="4">
        <v>59604.45</v>
      </c>
      <c r="M79" s="6"/>
      <c r="N79" s="63">
        <f t="shared" ref="N79:N84" si="21">$N$2*L79</f>
        <v>864.26452500000005</v>
      </c>
      <c r="O79" s="60">
        <f t="shared" ref="O79:O83" si="22">$O$2*L79</f>
        <v>20545.653914999999</v>
      </c>
      <c r="P79" s="69">
        <f>MATCH(D79,'OGB Contributions'!A:A,0)</f>
        <v>29</v>
      </c>
      <c r="Q79" s="58">
        <f>INDEX('OGB Contributions'!B:B,Sheet1!P79)</f>
        <v>468.44</v>
      </c>
      <c r="R79" s="61">
        <f t="shared" si="18"/>
        <v>5621.28</v>
      </c>
      <c r="S79" s="3">
        <f>58.54*12</f>
        <v>702.48</v>
      </c>
      <c r="T79" s="58">
        <f t="shared" si="14"/>
        <v>87338.128439999986</v>
      </c>
    </row>
    <row r="80" spans="1:20" x14ac:dyDescent="0.2">
      <c r="A80" s="14">
        <v>136</v>
      </c>
      <c r="B80" s="3" t="s">
        <v>209</v>
      </c>
      <c r="C80" s="3" t="s">
        <v>98</v>
      </c>
      <c r="D80" s="3" t="s">
        <v>219</v>
      </c>
      <c r="E80" s="3" t="s">
        <v>220</v>
      </c>
      <c r="F80" s="4">
        <v>29.78</v>
      </c>
      <c r="G80" s="1">
        <f t="shared" si="20"/>
        <v>2382.4</v>
      </c>
      <c r="H80" s="3" t="s">
        <v>618</v>
      </c>
      <c r="I80" s="3" t="s">
        <v>81</v>
      </c>
      <c r="J80" s="3" t="s">
        <v>221</v>
      </c>
      <c r="K80" s="5">
        <v>1</v>
      </c>
      <c r="L80" s="4">
        <v>61942.400000000001</v>
      </c>
      <c r="M80" s="6"/>
      <c r="N80" s="63">
        <f t="shared" si="21"/>
        <v>898.16480000000001</v>
      </c>
      <c r="O80" s="60">
        <f t="shared" si="22"/>
        <v>21351.545280000002</v>
      </c>
      <c r="P80" s="69">
        <f>MATCH(D80,'OGB Contributions'!A:A,0)</f>
        <v>49</v>
      </c>
      <c r="Q80" s="58">
        <f>INDEX('OGB Contributions'!B:B,Sheet1!P80)</f>
        <v>749.54</v>
      </c>
      <c r="R80" s="61">
        <f t="shared" si="18"/>
        <v>8994.48</v>
      </c>
      <c r="S80" s="3">
        <f>58.54*12</f>
        <v>702.48</v>
      </c>
      <c r="T80" s="58">
        <f t="shared" si="14"/>
        <v>93889.07007999999</v>
      </c>
    </row>
    <row r="81" spans="1:20" x14ac:dyDescent="0.2">
      <c r="A81" s="14">
        <v>136</v>
      </c>
      <c r="B81" s="3" t="s">
        <v>209</v>
      </c>
      <c r="C81" s="3" t="s">
        <v>222</v>
      </c>
      <c r="D81" s="3" t="s">
        <v>223</v>
      </c>
      <c r="E81" s="3" t="s">
        <v>224</v>
      </c>
      <c r="F81" s="4">
        <v>23.8</v>
      </c>
      <c r="G81" s="1">
        <f t="shared" si="20"/>
        <v>1904</v>
      </c>
      <c r="H81" s="3" t="s">
        <v>618</v>
      </c>
      <c r="I81" s="3" t="s">
        <v>225</v>
      </c>
      <c r="J81" s="3" t="s">
        <v>226</v>
      </c>
      <c r="K81" s="5">
        <v>1</v>
      </c>
      <c r="L81" s="4">
        <v>49500</v>
      </c>
      <c r="M81" s="68">
        <f>(F81*7%)*2080</f>
        <v>3465.28</v>
      </c>
      <c r="N81" s="63">
        <f t="shared" si="21"/>
        <v>717.75</v>
      </c>
      <c r="O81" s="60">
        <f t="shared" si="22"/>
        <v>17062.650000000001</v>
      </c>
      <c r="P81" s="69">
        <f>MATCH(D81,'OGB Contributions'!A:A,0)</f>
        <v>54</v>
      </c>
      <c r="Q81" s="58">
        <f>INDEX('OGB Contributions'!B:B,Sheet1!P81)</f>
        <v>271.48</v>
      </c>
      <c r="R81" s="61">
        <f t="shared" si="18"/>
        <v>3257.76</v>
      </c>
      <c r="T81" s="58">
        <f t="shared" si="14"/>
        <v>74003.439999999988</v>
      </c>
    </row>
    <row r="82" spans="1:20" x14ac:dyDescent="0.2">
      <c r="A82" s="14">
        <v>136</v>
      </c>
      <c r="B82" s="3" t="s">
        <v>209</v>
      </c>
      <c r="C82" s="3" t="s">
        <v>222</v>
      </c>
      <c r="D82" s="3" t="s">
        <v>227</v>
      </c>
      <c r="E82" s="3" t="s">
        <v>228</v>
      </c>
      <c r="F82" s="4">
        <v>24.04</v>
      </c>
      <c r="G82" s="1">
        <f t="shared" si="20"/>
        <v>1923.1999999999998</v>
      </c>
      <c r="H82" s="3" t="s">
        <v>618</v>
      </c>
      <c r="I82" s="3" t="s">
        <v>225</v>
      </c>
      <c r="J82" s="3" t="s">
        <v>229</v>
      </c>
      <c r="K82" s="5">
        <v>1</v>
      </c>
      <c r="L82" s="4">
        <v>50000</v>
      </c>
      <c r="M82" s="68">
        <f>(F82*7%)*2080</f>
        <v>3500.2240000000002</v>
      </c>
      <c r="N82" s="63">
        <f t="shared" si="21"/>
        <v>725</v>
      </c>
      <c r="O82" s="60">
        <f t="shared" si="22"/>
        <v>17235</v>
      </c>
      <c r="P82" s="69">
        <f>MATCH(D82,'OGB Contributions'!A:A,0)</f>
        <v>85</v>
      </c>
      <c r="Q82" s="58">
        <f>INDEX('OGB Contributions'!B:B,Sheet1!P82)</f>
        <v>413.54</v>
      </c>
      <c r="R82" s="61">
        <f t="shared" si="18"/>
        <v>4962.4800000000005</v>
      </c>
      <c r="S82" s="3">
        <f>12*32.08</f>
        <v>384.96</v>
      </c>
      <c r="T82" s="58">
        <f t="shared" si="14"/>
        <v>76807.664000000004</v>
      </c>
    </row>
    <row r="83" spans="1:20" x14ac:dyDescent="0.2">
      <c r="A83" s="14">
        <v>136</v>
      </c>
      <c r="B83" s="3" t="s">
        <v>209</v>
      </c>
      <c r="C83" s="3" t="s">
        <v>67</v>
      </c>
      <c r="D83" s="3" t="s">
        <v>230</v>
      </c>
      <c r="E83" s="3" t="s">
        <v>231</v>
      </c>
      <c r="F83" s="4">
        <v>50.49</v>
      </c>
      <c r="G83" s="1">
        <f t="shared" si="20"/>
        <v>4039.2000000000003</v>
      </c>
      <c r="H83" s="3" t="s">
        <v>618</v>
      </c>
      <c r="I83" s="3" t="s">
        <v>70</v>
      </c>
      <c r="J83" s="3" t="s">
        <v>232</v>
      </c>
      <c r="K83" s="5">
        <v>1</v>
      </c>
      <c r="L83" s="4">
        <v>105019.2</v>
      </c>
      <c r="M83" s="6"/>
      <c r="N83" s="63">
        <f t="shared" si="21"/>
        <v>1522.7784000000001</v>
      </c>
      <c r="O83" s="60">
        <f t="shared" si="22"/>
        <v>36200.118239999996</v>
      </c>
      <c r="P83" s="69">
        <f>MATCH(D83,'OGB Contributions'!A:A,0)</f>
        <v>115</v>
      </c>
      <c r="Q83" s="58">
        <f>INDEX('OGB Contributions'!B:B,Sheet1!P83)</f>
        <v>660.84</v>
      </c>
      <c r="R83" s="61">
        <f t="shared" si="18"/>
        <v>7930.08</v>
      </c>
      <c r="S83" s="3">
        <f>26.92*12</f>
        <v>323.04000000000002</v>
      </c>
      <c r="T83" s="58">
        <f t="shared" si="14"/>
        <v>150995.21664</v>
      </c>
    </row>
    <row r="84" spans="1:20" x14ac:dyDescent="0.2">
      <c r="D84" s="41" t="s">
        <v>631</v>
      </c>
      <c r="F84" s="4"/>
      <c r="G84" s="4"/>
      <c r="K84" s="5"/>
      <c r="L84" s="4">
        <v>12480</v>
      </c>
      <c r="M84" s="6"/>
      <c r="N84" s="84">
        <f t="shared" si="21"/>
        <v>180.96</v>
      </c>
      <c r="T84" s="58">
        <f>SUM(L84:N84)</f>
        <v>12660.96</v>
      </c>
    </row>
    <row r="85" spans="1:20" s="22" customFormat="1" ht="13.5" thickBot="1" x14ac:dyDescent="0.25">
      <c r="D85" s="39" t="s">
        <v>625</v>
      </c>
      <c r="F85" s="23"/>
      <c r="G85" s="23"/>
      <c r="K85" s="24"/>
      <c r="L85" s="23">
        <f>SUM(L78:L83)*0.03</f>
        <v>12530.701499999999</v>
      </c>
      <c r="M85" s="25"/>
      <c r="N85" s="66"/>
      <c r="T85" s="66">
        <f>L85</f>
        <v>12530.701499999999</v>
      </c>
    </row>
    <row r="86" spans="1:20" s="14" customFormat="1" x14ac:dyDescent="0.2">
      <c r="A86" s="30">
        <v>10</v>
      </c>
      <c r="B86" s="14" t="s">
        <v>233</v>
      </c>
      <c r="C86" s="14" t="s">
        <v>234</v>
      </c>
      <c r="D86" s="14" t="s">
        <v>235</v>
      </c>
      <c r="E86" s="14" t="s">
        <v>236</v>
      </c>
      <c r="F86" s="15">
        <v>44.38</v>
      </c>
      <c r="G86" s="1">
        <f t="shared" ref="G86:G94" si="23">F86*K86*80</f>
        <v>3550.4</v>
      </c>
      <c r="H86" s="14" t="s">
        <v>619</v>
      </c>
      <c r="I86" s="14" t="s">
        <v>237</v>
      </c>
      <c r="J86" s="14" t="s">
        <v>238</v>
      </c>
      <c r="K86" s="16">
        <v>1</v>
      </c>
      <c r="L86" s="15">
        <v>92312.22</v>
      </c>
      <c r="M86" s="17"/>
      <c r="N86" s="63">
        <f>$N$2*L86</f>
        <v>1338.52719</v>
      </c>
      <c r="O86" s="60">
        <f t="shared" ref="O86:O94" si="24">$O$2*L86</f>
        <v>31820.022234</v>
      </c>
      <c r="P86" s="69">
        <f>MATCH(D86,'OGB Contributions'!A:A,0)</f>
        <v>21</v>
      </c>
      <c r="Q86" s="58">
        <f>INDEX('OGB Contributions'!B:B,Sheet1!P86)</f>
        <v>690.84</v>
      </c>
      <c r="R86" s="61">
        <f t="shared" ref="R86:R94" si="25">Q86*12</f>
        <v>8290.08</v>
      </c>
      <c r="S86" s="133">
        <f>6*12</f>
        <v>72</v>
      </c>
      <c r="T86" s="58">
        <f t="shared" ref="T86:T94" si="26">SUM(L86,M86,N86,O86,R86,S86)</f>
        <v>133832.84942399999</v>
      </c>
    </row>
    <row r="87" spans="1:20" x14ac:dyDescent="0.2">
      <c r="A87" s="30">
        <v>10</v>
      </c>
      <c r="B87" s="3" t="s">
        <v>233</v>
      </c>
      <c r="C87" s="40" t="s">
        <v>635</v>
      </c>
      <c r="D87" s="40" t="s">
        <v>636</v>
      </c>
      <c r="E87" s="98">
        <v>246340</v>
      </c>
      <c r="F87" s="4">
        <v>74.53</v>
      </c>
      <c r="G87" s="1">
        <f>F87*K87*80</f>
        <v>5962.4</v>
      </c>
      <c r="H87" s="3" t="s">
        <v>619</v>
      </c>
      <c r="I87" s="3" t="s">
        <v>237</v>
      </c>
      <c r="J87" s="97">
        <v>50479588</v>
      </c>
      <c r="K87" s="5">
        <v>1</v>
      </c>
      <c r="L87" s="4">
        <v>155001.60000000001</v>
      </c>
      <c r="M87" s="6"/>
      <c r="N87" s="63">
        <f t="shared" ref="N87:N147" si="27">$N$2*L87</f>
        <v>2247.5232000000001</v>
      </c>
      <c r="O87" s="60">
        <f t="shared" si="24"/>
        <v>53429.051520000001</v>
      </c>
      <c r="P87" s="69" t="e">
        <f>MATCH(D87,'OGB Contributions'!A:A,0)</f>
        <v>#N/A</v>
      </c>
      <c r="Q87" s="58" t="e">
        <f>INDEX('OGB Contributions'!B:B,Sheet1!P87)</f>
        <v>#N/A</v>
      </c>
      <c r="R87" s="61">
        <f>481.64*12</f>
        <v>5779.68</v>
      </c>
      <c r="S87" s="3">
        <f>81.96*12</f>
        <v>983.52</v>
      </c>
      <c r="T87" s="58">
        <f t="shared" si="26"/>
        <v>217441.37471999999</v>
      </c>
    </row>
    <row r="88" spans="1:20" x14ac:dyDescent="0.2">
      <c r="A88" s="30">
        <v>10</v>
      </c>
      <c r="B88" s="3" t="s">
        <v>233</v>
      </c>
      <c r="C88" s="3" t="s">
        <v>239</v>
      </c>
      <c r="D88" s="3" t="s">
        <v>240</v>
      </c>
      <c r="E88" s="3" t="s">
        <v>241</v>
      </c>
      <c r="F88" s="4">
        <v>27.04</v>
      </c>
      <c r="G88" s="1">
        <f t="shared" si="23"/>
        <v>2163.1999999999998</v>
      </c>
      <c r="H88" s="3" t="s">
        <v>618</v>
      </c>
      <c r="I88" s="3" t="s">
        <v>242</v>
      </c>
      <c r="J88" s="3" t="s">
        <v>243</v>
      </c>
      <c r="K88" s="5">
        <v>1</v>
      </c>
      <c r="L88" s="4">
        <v>56243.199999999997</v>
      </c>
      <c r="M88" s="6"/>
      <c r="N88" s="63">
        <f t="shared" si="27"/>
        <v>815.52639999999997</v>
      </c>
      <c r="O88" s="60">
        <f t="shared" si="24"/>
        <v>19387.031039999998</v>
      </c>
      <c r="P88" s="69">
        <f>MATCH(D88,'OGB Contributions'!A:A,0)</f>
        <v>36</v>
      </c>
      <c r="Q88" s="58">
        <f>INDEX('OGB Contributions'!B:B,Sheet1!P88)</f>
        <v>657.54</v>
      </c>
      <c r="R88" s="61">
        <f t="shared" si="25"/>
        <v>7890.48</v>
      </c>
      <c r="T88" s="58">
        <f t="shared" si="26"/>
        <v>84336.237439999997</v>
      </c>
    </row>
    <row r="89" spans="1:20" x14ac:dyDescent="0.2">
      <c r="A89" s="30">
        <v>10</v>
      </c>
      <c r="B89" s="3" t="s">
        <v>233</v>
      </c>
      <c r="C89" s="3" t="s">
        <v>244</v>
      </c>
      <c r="D89" s="3" t="s">
        <v>245</v>
      </c>
      <c r="E89" s="3" t="s">
        <v>246</v>
      </c>
      <c r="F89" s="4">
        <v>79.33</v>
      </c>
      <c r="G89" s="1">
        <f t="shared" si="23"/>
        <v>6346.4</v>
      </c>
      <c r="H89" s="3" t="s">
        <v>619</v>
      </c>
      <c r="I89" s="3" t="s">
        <v>237</v>
      </c>
      <c r="J89" s="3" t="s">
        <v>247</v>
      </c>
      <c r="K89" s="5">
        <v>1</v>
      </c>
      <c r="L89" s="4">
        <v>165000</v>
      </c>
      <c r="M89" s="6"/>
      <c r="N89" s="63">
        <f t="shared" si="27"/>
        <v>2392.5</v>
      </c>
      <c r="O89" s="60">
        <f t="shared" si="24"/>
        <v>56875.5</v>
      </c>
      <c r="P89" s="69">
        <f>MATCH(D89,'OGB Contributions'!A:A,0)</f>
        <v>46</v>
      </c>
      <c r="Q89" s="58">
        <f>INDEX('OGB Contributions'!B:B,Sheet1!P89)</f>
        <v>653.84</v>
      </c>
      <c r="R89" s="61">
        <f t="shared" si="25"/>
        <v>7846.08</v>
      </c>
      <c r="S89" s="3">
        <f>12*64.62</f>
        <v>775.44</v>
      </c>
      <c r="T89" s="58">
        <f t="shared" si="26"/>
        <v>232889.52</v>
      </c>
    </row>
    <row r="90" spans="1:20" x14ac:dyDescent="0.2">
      <c r="A90" s="30">
        <v>10</v>
      </c>
      <c r="B90" s="3" t="s">
        <v>233</v>
      </c>
      <c r="C90" s="3" t="s">
        <v>248</v>
      </c>
      <c r="D90" s="3" t="s">
        <v>249</v>
      </c>
      <c r="E90" s="3" t="s">
        <v>250</v>
      </c>
      <c r="F90" s="4">
        <v>36</v>
      </c>
      <c r="G90" s="1">
        <f t="shared" si="23"/>
        <v>2880</v>
      </c>
      <c r="H90" s="3" t="s">
        <v>618</v>
      </c>
      <c r="I90" s="3" t="s">
        <v>25</v>
      </c>
      <c r="J90" s="3" t="s">
        <v>251</v>
      </c>
      <c r="K90" s="5">
        <v>1</v>
      </c>
      <c r="L90" s="4">
        <v>74880</v>
      </c>
      <c r="M90" s="6"/>
      <c r="N90" s="63">
        <f t="shared" si="27"/>
        <v>1085.76</v>
      </c>
      <c r="O90" s="60">
        <f t="shared" si="24"/>
        <v>25811.136000000002</v>
      </c>
      <c r="P90" s="69">
        <f>MATCH(D90,'OGB Contributions'!A:A,0)</f>
        <v>47</v>
      </c>
      <c r="Q90" s="58">
        <f>INDEX('OGB Contributions'!B:B,Sheet1!P90)</f>
        <v>657.54</v>
      </c>
      <c r="R90" s="61">
        <f t="shared" si="25"/>
        <v>7890.48</v>
      </c>
      <c r="S90" s="3">
        <f>26.92*12</f>
        <v>323.04000000000002</v>
      </c>
      <c r="T90" s="58">
        <f t="shared" si="26"/>
        <v>109990.41599999998</v>
      </c>
    </row>
    <row r="91" spans="1:20" x14ac:dyDescent="0.2">
      <c r="A91" s="30">
        <v>10</v>
      </c>
      <c r="B91" s="3" t="s">
        <v>233</v>
      </c>
      <c r="C91" s="3" t="s">
        <v>248</v>
      </c>
      <c r="D91" s="3" t="s">
        <v>252</v>
      </c>
      <c r="E91" s="3" t="s">
        <v>253</v>
      </c>
      <c r="F91" s="4">
        <v>41.56</v>
      </c>
      <c r="G91" s="1">
        <f t="shared" si="23"/>
        <v>3324.8</v>
      </c>
      <c r="H91" s="3" t="s">
        <v>618</v>
      </c>
      <c r="I91" s="3" t="s">
        <v>25</v>
      </c>
      <c r="J91" s="3" t="s">
        <v>254</v>
      </c>
      <c r="K91" s="5">
        <v>1</v>
      </c>
      <c r="L91" s="4">
        <v>86444.800000000003</v>
      </c>
      <c r="M91" s="6"/>
      <c r="N91" s="63">
        <f t="shared" si="27"/>
        <v>1253.4496000000001</v>
      </c>
      <c r="O91" s="60">
        <f t="shared" si="24"/>
        <v>29797.522560000001</v>
      </c>
      <c r="P91" s="69">
        <f>MATCH(D91,'OGB Contributions'!A:A,0)</f>
        <v>79</v>
      </c>
      <c r="Q91" s="58">
        <f>INDEX('OGB Contributions'!B:B,Sheet1!P91)</f>
        <v>771.54</v>
      </c>
      <c r="R91" s="61">
        <f t="shared" si="25"/>
        <v>9258.48</v>
      </c>
      <c r="S91" s="3">
        <f>81.96*12</f>
        <v>983.52</v>
      </c>
      <c r="T91" s="58">
        <f t="shared" si="26"/>
        <v>127737.77216000001</v>
      </c>
    </row>
    <row r="92" spans="1:20" x14ac:dyDescent="0.2">
      <c r="A92" s="30">
        <v>10</v>
      </c>
      <c r="B92" s="3" t="s">
        <v>233</v>
      </c>
      <c r="C92" s="3" t="s">
        <v>259</v>
      </c>
      <c r="D92" s="3" t="s">
        <v>260</v>
      </c>
      <c r="E92" s="3" t="s">
        <v>261</v>
      </c>
      <c r="F92" s="4">
        <v>54.47</v>
      </c>
      <c r="G92" s="1">
        <f t="shared" si="23"/>
        <v>4357.6000000000004</v>
      </c>
      <c r="H92" s="3" t="s">
        <v>619</v>
      </c>
      <c r="I92" s="3" t="s">
        <v>237</v>
      </c>
      <c r="J92" s="3" t="s">
        <v>262</v>
      </c>
      <c r="K92" s="5">
        <v>1</v>
      </c>
      <c r="L92" s="4">
        <v>113297.60000000001</v>
      </c>
      <c r="M92" s="6"/>
      <c r="N92" s="63">
        <f t="shared" si="27"/>
        <v>1642.8152000000002</v>
      </c>
      <c r="O92" s="60">
        <f t="shared" si="24"/>
        <v>39053.682720000004</v>
      </c>
      <c r="P92" s="69">
        <f>MATCH(D92,'OGB Contributions'!A:A,0)</f>
        <v>90</v>
      </c>
      <c r="Q92" s="58">
        <f>INDEX('OGB Contributions'!B:B,Sheet1!P92)</f>
        <v>685.72</v>
      </c>
      <c r="R92" s="61">
        <f t="shared" si="25"/>
        <v>8228.64</v>
      </c>
      <c r="S92" s="3">
        <f>12*32.08</f>
        <v>384.96</v>
      </c>
      <c r="T92" s="58">
        <f t="shared" si="26"/>
        <v>162607.69791999998</v>
      </c>
    </row>
    <row r="93" spans="1:20" x14ac:dyDescent="0.2">
      <c r="A93" s="30">
        <v>10</v>
      </c>
      <c r="B93" s="3" t="s">
        <v>233</v>
      </c>
      <c r="C93" s="3" t="s">
        <v>263</v>
      </c>
      <c r="D93" s="3" t="s">
        <v>264</v>
      </c>
      <c r="E93" s="3" t="s">
        <v>265</v>
      </c>
      <c r="F93" s="4">
        <v>62.5</v>
      </c>
      <c r="G93" s="1">
        <f t="shared" si="23"/>
        <v>5000</v>
      </c>
      <c r="H93" s="3" t="s">
        <v>619</v>
      </c>
      <c r="I93" s="3" t="s">
        <v>237</v>
      </c>
      <c r="J93" s="3" t="s">
        <v>266</v>
      </c>
      <c r="K93" s="5">
        <v>1</v>
      </c>
      <c r="L93" s="4">
        <v>130000</v>
      </c>
      <c r="M93" s="6"/>
      <c r="N93" s="63">
        <f t="shared" si="27"/>
        <v>1885</v>
      </c>
      <c r="O93" s="60">
        <f t="shared" si="24"/>
        <v>44811</v>
      </c>
      <c r="P93" s="69">
        <f>MATCH(D93,'OGB Contributions'!A:A,0)</f>
        <v>124</v>
      </c>
      <c r="Q93" s="58">
        <f>INDEX('OGB Contributions'!B:B,Sheet1!P93)</f>
        <v>690.84</v>
      </c>
      <c r="R93" s="61">
        <f t="shared" si="25"/>
        <v>8290.08</v>
      </c>
      <c r="S93" s="3">
        <f>26.92*12</f>
        <v>323.04000000000002</v>
      </c>
      <c r="T93" s="58">
        <f t="shared" si="26"/>
        <v>185309.12</v>
      </c>
    </row>
    <row r="94" spans="1:20" x14ac:dyDescent="0.2">
      <c r="A94" s="30">
        <v>10</v>
      </c>
      <c r="B94" s="3" t="s">
        <v>233</v>
      </c>
      <c r="C94" s="3" t="s">
        <v>267</v>
      </c>
      <c r="D94" s="3" t="s">
        <v>268</v>
      </c>
      <c r="E94" s="3" t="s">
        <v>269</v>
      </c>
      <c r="F94" s="4">
        <v>117.79</v>
      </c>
      <c r="G94" s="1">
        <f t="shared" si="23"/>
        <v>9423.2000000000007</v>
      </c>
      <c r="H94" s="3" t="s">
        <v>619</v>
      </c>
      <c r="I94" s="3" t="s">
        <v>237</v>
      </c>
      <c r="J94" s="3" t="s">
        <v>270</v>
      </c>
      <c r="K94" s="5">
        <v>1</v>
      </c>
      <c r="L94" s="4">
        <v>245000</v>
      </c>
      <c r="M94" s="6"/>
      <c r="N94" s="63">
        <f t="shared" si="27"/>
        <v>3552.5</v>
      </c>
      <c r="O94" s="60">
        <f t="shared" si="24"/>
        <v>84451.5</v>
      </c>
      <c r="P94" s="69">
        <f>MATCH(D94,'OGB Contributions'!A:A,0)</f>
        <v>143</v>
      </c>
      <c r="Q94" s="58">
        <f>INDEX('OGB Contributions'!B:B,Sheet1!P94)</f>
        <v>1165.8</v>
      </c>
      <c r="R94" s="61">
        <f t="shared" si="25"/>
        <v>13989.599999999999</v>
      </c>
      <c r="S94" s="3">
        <f>50.84*12</f>
        <v>610.08000000000004</v>
      </c>
      <c r="T94" s="58">
        <f t="shared" si="26"/>
        <v>347603.68</v>
      </c>
    </row>
    <row r="95" spans="1:20" s="22" customFormat="1" ht="13.5" thickBot="1" x14ac:dyDescent="0.25">
      <c r="D95" s="39" t="s">
        <v>625</v>
      </c>
      <c r="F95" s="23"/>
      <c r="G95" s="23"/>
      <c r="K95" s="24"/>
      <c r="L95" s="23">
        <f>SUM(L86:L94)*0.03</f>
        <v>33545.382599999997</v>
      </c>
      <c r="M95" s="25"/>
      <c r="N95" s="66"/>
      <c r="T95" s="66">
        <f>L95</f>
        <v>33545.382599999997</v>
      </c>
    </row>
    <row r="96" spans="1:20" s="14" customFormat="1" x14ac:dyDescent="0.2">
      <c r="A96" s="14">
        <v>190</v>
      </c>
      <c r="B96" s="14" t="s">
        <v>271</v>
      </c>
      <c r="C96" s="14" t="s">
        <v>272</v>
      </c>
      <c r="D96" s="14" t="s">
        <v>273</v>
      </c>
      <c r="E96" s="14" t="s">
        <v>274</v>
      </c>
      <c r="F96" s="15">
        <v>15</v>
      </c>
      <c r="G96" s="1">
        <f t="shared" ref="G96:G100" si="28">F96*K96*80</f>
        <v>1200</v>
      </c>
      <c r="H96" s="14" t="s">
        <v>618</v>
      </c>
      <c r="I96" s="14" t="s">
        <v>275</v>
      </c>
      <c r="J96" s="14" t="s">
        <v>276</v>
      </c>
      <c r="K96" s="16">
        <v>1</v>
      </c>
      <c r="L96" s="15">
        <v>31200</v>
      </c>
      <c r="M96" s="68">
        <f>(F96*10.5%)*2080</f>
        <v>3276</v>
      </c>
      <c r="N96" s="63">
        <f t="shared" si="27"/>
        <v>452.40000000000003</v>
      </c>
      <c r="O96" s="60">
        <f t="shared" ref="O96:O100" si="29">$O$2*L96</f>
        <v>10754.64</v>
      </c>
      <c r="P96" s="69">
        <f>MATCH(D96,'OGB Contributions'!A:A,0)</f>
        <v>55</v>
      </c>
      <c r="Q96" s="58">
        <f>INDEX('OGB Contributions'!B:B,Sheet1!P96)</f>
        <v>251</v>
      </c>
      <c r="R96" s="61">
        <f t="shared" ref="R96:R158" si="30">Q96*12</f>
        <v>3012</v>
      </c>
      <c r="S96" s="3">
        <f>12*32.08</f>
        <v>384.96</v>
      </c>
      <c r="T96" s="58">
        <f t="shared" ref="T96:T100" si="31">SUM(L96,M96,N96,O96,R96,S96)</f>
        <v>49080</v>
      </c>
    </row>
    <row r="97" spans="1:20" x14ac:dyDescent="0.2">
      <c r="A97" s="14">
        <v>190</v>
      </c>
      <c r="B97" s="3" t="s">
        <v>271</v>
      </c>
      <c r="C97" s="3" t="s">
        <v>277</v>
      </c>
      <c r="D97" s="3" t="s">
        <v>278</v>
      </c>
      <c r="E97" s="3" t="s">
        <v>279</v>
      </c>
      <c r="F97" s="4">
        <v>17.18</v>
      </c>
      <c r="G97" s="1">
        <f t="shared" si="28"/>
        <v>1374.4</v>
      </c>
      <c r="H97" s="3" t="s">
        <v>618</v>
      </c>
      <c r="I97" s="3" t="s">
        <v>280</v>
      </c>
      <c r="J97" s="3" t="s">
        <v>281</v>
      </c>
      <c r="K97" s="5">
        <v>1</v>
      </c>
      <c r="L97" s="4">
        <v>35734.400000000001</v>
      </c>
      <c r="M97" s="6"/>
      <c r="N97" s="63">
        <f t="shared" si="27"/>
        <v>518.14880000000005</v>
      </c>
      <c r="O97" s="60">
        <f t="shared" si="29"/>
        <v>12317.64768</v>
      </c>
      <c r="P97" s="69">
        <f>MATCH(D97,'OGB Contributions'!A:A,0)</f>
        <v>109</v>
      </c>
      <c r="Q97" s="58">
        <f>INDEX('OGB Contributions'!B:B,Sheet1!P97)</f>
        <v>675.84</v>
      </c>
      <c r="R97" s="61">
        <f t="shared" si="30"/>
        <v>8110.08</v>
      </c>
      <c r="S97" s="3">
        <f>26.92*12</f>
        <v>323.04000000000002</v>
      </c>
      <c r="T97" s="58">
        <f t="shared" si="31"/>
        <v>57003.316480000009</v>
      </c>
    </row>
    <row r="98" spans="1:20" x14ac:dyDescent="0.2">
      <c r="A98" s="14">
        <v>190</v>
      </c>
      <c r="B98" s="3" t="s">
        <v>271</v>
      </c>
      <c r="C98" s="3" t="s">
        <v>282</v>
      </c>
      <c r="D98" s="3" t="s">
        <v>283</v>
      </c>
      <c r="E98" s="3" t="s">
        <v>284</v>
      </c>
      <c r="F98" s="4">
        <v>26.21</v>
      </c>
      <c r="G98" s="1">
        <f t="shared" si="28"/>
        <v>2096.8000000000002</v>
      </c>
      <c r="H98" s="3" t="s">
        <v>618</v>
      </c>
      <c r="I98" s="3" t="s">
        <v>50</v>
      </c>
      <c r="J98" s="3" t="s">
        <v>285</v>
      </c>
      <c r="K98" s="5">
        <v>1</v>
      </c>
      <c r="L98" s="4">
        <v>54516.800000000003</v>
      </c>
      <c r="M98" s="6"/>
      <c r="N98" s="63">
        <f t="shared" si="27"/>
        <v>790.49360000000013</v>
      </c>
      <c r="O98" s="60">
        <f t="shared" si="29"/>
        <v>18791.94096</v>
      </c>
      <c r="P98" s="69">
        <f>MATCH(D98,'OGB Contributions'!A:A,0)</f>
        <v>112</v>
      </c>
      <c r="Q98" s="58">
        <f>INDEX('OGB Contributions'!B:B,Sheet1!P98)</f>
        <v>653.84</v>
      </c>
      <c r="R98" s="61">
        <f t="shared" si="30"/>
        <v>7846.08</v>
      </c>
      <c r="T98" s="58">
        <f t="shared" si="31"/>
        <v>81945.314560000013</v>
      </c>
    </row>
    <row r="99" spans="1:20" x14ac:dyDescent="0.2">
      <c r="A99" s="14">
        <v>190</v>
      </c>
      <c r="B99" s="3" t="s">
        <v>271</v>
      </c>
      <c r="C99" s="3" t="s">
        <v>286</v>
      </c>
      <c r="D99" s="3" t="s">
        <v>287</v>
      </c>
      <c r="E99" s="3" t="s">
        <v>288</v>
      </c>
      <c r="F99" s="4">
        <v>15</v>
      </c>
      <c r="G99" s="1">
        <f t="shared" si="28"/>
        <v>1200</v>
      </c>
      <c r="H99" s="3" t="s">
        <v>618</v>
      </c>
      <c r="I99" s="3" t="s">
        <v>289</v>
      </c>
      <c r="J99" s="3" t="s">
        <v>290</v>
      </c>
      <c r="K99" s="5">
        <v>1</v>
      </c>
      <c r="L99" s="4">
        <v>31200</v>
      </c>
      <c r="M99" s="68">
        <f>(F99*10.5%)*2080</f>
        <v>3276</v>
      </c>
      <c r="N99" s="63">
        <f t="shared" si="27"/>
        <v>452.40000000000003</v>
      </c>
      <c r="O99" s="60">
        <f t="shared" si="29"/>
        <v>10754.64</v>
      </c>
      <c r="P99" s="69"/>
      <c r="Q99" s="58"/>
      <c r="R99" s="61">
        <f t="shared" si="30"/>
        <v>0</v>
      </c>
      <c r="T99" s="58">
        <f t="shared" si="31"/>
        <v>45683.040000000001</v>
      </c>
    </row>
    <row r="100" spans="1:20" x14ac:dyDescent="0.2">
      <c r="A100" s="14">
        <v>190</v>
      </c>
      <c r="B100" s="3" t="s">
        <v>271</v>
      </c>
      <c r="C100" s="3" t="s">
        <v>291</v>
      </c>
      <c r="D100" s="3" t="s">
        <v>292</v>
      </c>
      <c r="E100" s="3" t="s">
        <v>293</v>
      </c>
      <c r="F100" s="4">
        <v>38.590000000000003</v>
      </c>
      <c r="G100" s="1">
        <f t="shared" si="28"/>
        <v>3087.2000000000003</v>
      </c>
      <c r="H100" s="3" t="s">
        <v>618</v>
      </c>
      <c r="I100" s="3" t="s">
        <v>3</v>
      </c>
      <c r="J100" s="3" t="s">
        <v>294</v>
      </c>
      <c r="K100" s="5">
        <v>1</v>
      </c>
      <c r="L100" s="4">
        <v>80267.199999999997</v>
      </c>
      <c r="M100" s="6"/>
      <c r="N100" s="63">
        <f t="shared" si="27"/>
        <v>1163.8743999999999</v>
      </c>
      <c r="O100" s="60">
        <f t="shared" si="29"/>
        <v>27668.10384</v>
      </c>
      <c r="P100" s="69">
        <f>MATCH(D100,'OGB Contributions'!A:A,0)</f>
        <v>144</v>
      </c>
      <c r="Q100" s="58">
        <f>INDEX('OGB Contributions'!B:B,Sheet1!P100)</f>
        <v>710.84</v>
      </c>
      <c r="R100" s="61">
        <f t="shared" si="30"/>
        <v>8530.08</v>
      </c>
      <c r="S100" s="3">
        <f>58.54*12</f>
        <v>702.48</v>
      </c>
      <c r="T100" s="58">
        <f t="shared" si="31"/>
        <v>118331.73823999999</v>
      </c>
    </row>
    <row r="101" spans="1:20" s="43" customFormat="1" ht="12" customHeight="1" x14ac:dyDescent="0.2">
      <c r="A101" s="50">
        <v>190</v>
      </c>
      <c r="B101" s="43" t="s">
        <v>271</v>
      </c>
      <c r="C101" s="44" t="s">
        <v>859</v>
      </c>
      <c r="D101" s="49" t="s">
        <v>637</v>
      </c>
      <c r="F101" s="45">
        <v>33.35</v>
      </c>
      <c r="G101" s="46">
        <f t="shared" ref="G101" si="32">F101*K101*80</f>
        <v>2668</v>
      </c>
      <c r="H101" s="43" t="s">
        <v>618</v>
      </c>
      <c r="I101" s="44" t="s">
        <v>43</v>
      </c>
      <c r="K101" s="47">
        <v>1</v>
      </c>
      <c r="L101" s="45">
        <f>F101*2080</f>
        <v>69368</v>
      </c>
      <c r="M101" s="48"/>
      <c r="N101" s="93">
        <f t="shared" ref="N101" si="33">$N$2*L101</f>
        <v>1005.836</v>
      </c>
      <c r="O101" s="76">
        <f t="shared" ref="O101" si="34">$O$2*L101</f>
        <v>23911.149600000001</v>
      </c>
      <c r="P101" s="78" t="e">
        <f>MATCH(D101,'OGB Contributions'!A:A,0)</f>
        <v>#N/A</v>
      </c>
      <c r="Q101" s="76"/>
      <c r="R101" s="79">
        <f t="shared" ref="R101" si="35">Q101*12</f>
        <v>0</v>
      </c>
      <c r="T101" s="77">
        <f t="shared" ref="T101" si="36">SUM(L101,M101,N101,O101,R101,S101)</f>
        <v>94284.9856</v>
      </c>
    </row>
    <row r="102" spans="1:20" s="22" customFormat="1" ht="13.5" thickBot="1" x14ac:dyDescent="0.25">
      <c r="D102" s="39" t="s">
        <v>625</v>
      </c>
      <c r="F102" s="23"/>
      <c r="G102" s="23"/>
      <c r="K102" s="24"/>
      <c r="L102" s="23">
        <f>SUM(L96:L100)*0.03</f>
        <v>6987.5520000000006</v>
      </c>
      <c r="M102" s="25"/>
      <c r="N102" s="66"/>
      <c r="T102" s="66">
        <f>L102</f>
        <v>6987.5520000000006</v>
      </c>
    </row>
    <row r="103" spans="1:20" s="14" customFormat="1" x14ac:dyDescent="0.2">
      <c r="A103" s="14">
        <v>180</v>
      </c>
      <c r="B103" s="14" t="s">
        <v>295</v>
      </c>
      <c r="C103" s="14" t="s">
        <v>67</v>
      </c>
      <c r="D103" s="14" t="s">
        <v>296</v>
      </c>
      <c r="E103" s="14" t="s">
        <v>297</v>
      </c>
      <c r="F103" s="15">
        <v>46.84</v>
      </c>
      <c r="G103" s="1">
        <f>F103*K103*80</f>
        <v>3747.2000000000003</v>
      </c>
      <c r="H103" s="14" t="s">
        <v>618</v>
      </c>
      <c r="I103" s="14" t="s">
        <v>70</v>
      </c>
      <c r="J103" s="14" t="s">
        <v>298</v>
      </c>
      <c r="K103" s="16">
        <v>1</v>
      </c>
      <c r="L103" s="15">
        <v>97427.199999999997</v>
      </c>
      <c r="M103" s="17"/>
      <c r="N103" s="63">
        <f t="shared" si="27"/>
        <v>1412.6944000000001</v>
      </c>
      <c r="O103" s="60">
        <f>$O$2*L103</f>
        <v>33583.155839999999</v>
      </c>
      <c r="P103" s="69">
        <f>MATCH(D103,'OGB Contributions'!A:A,0)</f>
        <v>9</v>
      </c>
      <c r="Q103" s="58">
        <f>INDEX('OGB Contributions'!B:B,Sheet1!P103)</f>
        <v>771.54</v>
      </c>
      <c r="R103" s="61">
        <f t="shared" si="30"/>
        <v>9258.48</v>
      </c>
      <c r="S103" s="3">
        <f>58.54*12</f>
        <v>702.48</v>
      </c>
      <c r="T103" s="58">
        <f t="shared" ref="T103:T165" si="37">SUM(L103,M103,N103,O103,R103,S103)</f>
        <v>142384.01024</v>
      </c>
    </row>
    <row r="104" spans="1:20" x14ac:dyDescent="0.2">
      <c r="A104" s="3">
        <v>180</v>
      </c>
      <c r="B104" s="3" t="s">
        <v>295</v>
      </c>
      <c r="C104" s="3" t="s">
        <v>75</v>
      </c>
      <c r="D104" s="3" t="s">
        <v>299</v>
      </c>
      <c r="E104" s="3" t="s">
        <v>300</v>
      </c>
      <c r="F104" s="4">
        <v>34.17</v>
      </c>
      <c r="G104" s="1">
        <f>F104*K104*80</f>
        <v>2733.6000000000004</v>
      </c>
      <c r="H104" s="3" t="s">
        <v>618</v>
      </c>
      <c r="I104" s="3" t="s">
        <v>3</v>
      </c>
      <c r="J104" s="3" t="s">
        <v>301</v>
      </c>
      <c r="K104" s="5">
        <v>1</v>
      </c>
      <c r="L104" s="4">
        <v>71073.600000000006</v>
      </c>
      <c r="M104" s="6"/>
      <c r="N104" s="63">
        <f t="shared" si="27"/>
        <v>1030.5672000000002</v>
      </c>
      <c r="O104" s="60">
        <f>$O$2*L104</f>
        <v>24499.069920000002</v>
      </c>
      <c r="P104" s="69">
        <f>MATCH(D104,'OGB Contributions'!A:A,0)</f>
        <v>13</v>
      </c>
      <c r="Q104" s="58">
        <f>INDEX('OGB Contributions'!B:B,Sheet1!P104)</f>
        <v>653.84</v>
      </c>
      <c r="R104" s="61">
        <f t="shared" si="30"/>
        <v>7846.08</v>
      </c>
      <c r="S104" s="3">
        <f>26.92*12</f>
        <v>323.04000000000002</v>
      </c>
      <c r="T104" s="58">
        <f t="shared" si="37"/>
        <v>104772.35712</v>
      </c>
    </row>
    <row r="105" spans="1:20" x14ac:dyDescent="0.2">
      <c r="A105" s="3">
        <v>180</v>
      </c>
      <c r="B105" s="3" t="s">
        <v>295</v>
      </c>
      <c r="C105" s="3" t="s">
        <v>75</v>
      </c>
      <c r="D105" s="3" t="s">
        <v>302</v>
      </c>
      <c r="E105" s="3" t="s">
        <v>303</v>
      </c>
      <c r="F105" s="4">
        <v>22.65</v>
      </c>
      <c r="G105" s="1">
        <f>F105*K105*80</f>
        <v>1812</v>
      </c>
      <c r="H105" s="3" t="s">
        <v>618</v>
      </c>
      <c r="I105" s="3" t="s">
        <v>3</v>
      </c>
      <c r="J105" s="3" t="s">
        <v>304</v>
      </c>
      <c r="K105" s="5">
        <v>1</v>
      </c>
      <c r="L105" s="4">
        <v>47112</v>
      </c>
      <c r="M105" s="68">
        <f>(F105*10.5%)*2080</f>
        <v>4946.76</v>
      </c>
      <c r="N105" s="63">
        <f t="shared" si="27"/>
        <v>683.12400000000002</v>
      </c>
      <c r="O105" s="60">
        <f>$O$2*L105</f>
        <v>16239.5064</v>
      </c>
      <c r="P105" s="69">
        <f>MATCH(D105,'OGB Contributions'!A:A,0)</f>
        <v>75</v>
      </c>
      <c r="Q105" s="58">
        <f>INDEX('OGB Contributions'!B:B,Sheet1!P105)</f>
        <v>653.84</v>
      </c>
      <c r="R105" s="61">
        <f t="shared" si="30"/>
        <v>7846.08</v>
      </c>
      <c r="S105" s="3">
        <f>26.92*12</f>
        <v>323.04000000000002</v>
      </c>
      <c r="T105" s="58">
        <f t="shared" si="37"/>
        <v>77150.510399999999</v>
      </c>
    </row>
    <row r="106" spans="1:20" x14ac:dyDescent="0.2">
      <c r="A106" s="3">
        <v>180</v>
      </c>
      <c r="B106" s="3" t="s">
        <v>295</v>
      </c>
      <c r="C106" s="3" t="s">
        <v>118</v>
      </c>
      <c r="D106" s="3" t="s">
        <v>305</v>
      </c>
      <c r="E106" s="3" t="s">
        <v>306</v>
      </c>
      <c r="F106" s="4">
        <v>47.78</v>
      </c>
      <c r="G106" s="1">
        <f>F106*K106*80</f>
        <v>3822.4</v>
      </c>
      <c r="H106" s="3" t="s">
        <v>618</v>
      </c>
      <c r="I106" s="3" t="s">
        <v>22</v>
      </c>
      <c r="J106" s="3" t="s">
        <v>307</v>
      </c>
      <c r="K106" s="5">
        <v>1</v>
      </c>
      <c r="L106" s="4">
        <v>99382.399999999994</v>
      </c>
      <c r="M106" s="6"/>
      <c r="N106" s="63">
        <f t="shared" si="27"/>
        <v>1441.0447999999999</v>
      </c>
      <c r="O106" s="60">
        <f>$O$2*L106</f>
        <v>34257.113279999998</v>
      </c>
      <c r="P106" s="69" t="e">
        <f>MATCH(D106,'OGB Contributions'!A:A,0)</f>
        <v>#N/A</v>
      </c>
      <c r="Q106" s="58" t="e">
        <f>INDEX('OGB Contributions'!B:B,Sheet1!P106)</f>
        <v>#N/A</v>
      </c>
      <c r="R106" s="61"/>
      <c r="T106" s="58">
        <f t="shared" si="37"/>
        <v>135080.55807999999</v>
      </c>
    </row>
    <row r="107" spans="1:20" s="22" customFormat="1" ht="13.5" thickBot="1" x14ac:dyDescent="0.25">
      <c r="D107" s="39" t="s">
        <v>625</v>
      </c>
      <c r="F107" s="23"/>
      <c r="G107" s="23"/>
      <c r="K107" s="24"/>
      <c r="L107" s="23">
        <f>SUM(L103:L106)*0.03</f>
        <v>9449.8559999999979</v>
      </c>
      <c r="M107" s="25"/>
      <c r="N107" s="66"/>
      <c r="T107" s="66">
        <f>L107</f>
        <v>9449.8559999999979</v>
      </c>
    </row>
    <row r="108" spans="1:20" s="14" customFormat="1" x14ac:dyDescent="0.2">
      <c r="A108" s="14">
        <v>150</v>
      </c>
      <c r="B108" s="14" t="s">
        <v>308</v>
      </c>
      <c r="C108" s="14" t="s">
        <v>75</v>
      </c>
      <c r="D108" s="14" t="s">
        <v>309</v>
      </c>
      <c r="E108" s="14" t="s">
        <v>310</v>
      </c>
      <c r="F108" s="15">
        <v>22.61</v>
      </c>
      <c r="G108" s="1">
        <f t="shared" ref="G108:G124" si="38">F108*K108*80</f>
        <v>1808.8</v>
      </c>
      <c r="H108" s="14" t="s">
        <v>618</v>
      </c>
      <c r="I108" s="14" t="s">
        <v>3</v>
      </c>
      <c r="J108" s="14" t="s">
        <v>311</v>
      </c>
      <c r="K108" s="16">
        <v>1</v>
      </c>
      <c r="L108" s="15">
        <v>47028.800000000003</v>
      </c>
      <c r="M108" s="17"/>
      <c r="N108" s="63">
        <f t="shared" si="27"/>
        <v>681.91760000000011</v>
      </c>
      <c r="O108" s="60">
        <f t="shared" ref="O108:O129" si="39">$O$2*L108</f>
        <v>16210.827360000001</v>
      </c>
      <c r="P108" s="69">
        <f>MATCH(D108,'OGB Contributions'!A:A,0)</f>
        <v>24</v>
      </c>
      <c r="Q108" s="58">
        <f>INDEX('OGB Contributions'!B:B,Sheet1!P108)</f>
        <v>236.3</v>
      </c>
      <c r="R108" s="61">
        <f t="shared" si="30"/>
        <v>2835.6000000000004</v>
      </c>
      <c r="S108" s="3">
        <f>26.92*12</f>
        <v>323.04000000000002</v>
      </c>
      <c r="T108" s="58">
        <f t="shared" si="37"/>
        <v>67080.184959999999</v>
      </c>
    </row>
    <row r="109" spans="1:20" x14ac:dyDescent="0.2">
      <c r="A109" s="14">
        <v>150</v>
      </c>
      <c r="B109" s="3" t="s">
        <v>308</v>
      </c>
      <c r="C109" s="3" t="s">
        <v>312</v>
      </c>
      <c r="D109" s="3" t="s">
        <v>313</v>
      </c>
      <c r="E109" s="3" t="s">
        <v>314</v>
      </c>
      <c r="F109" s="4">
        <v>23.89</v>
      </c>
      <c r="G109" s="1">
        <f t="shared" si="38"/>
        <v>1911.2</v>
      </c>
      <c r="H109" s="3" t="s">
        <v>618</v>
      </c>
      <c r="I109" s="3" t="s">
        <v>242</v>
      </c>
      <c r="J109" s="3" t="s">
        <v>315</v>
      </c>
      <c r="K109" s="5">
        <v>1</v>
      </c>
      <c r="L109" s="4">
        <v>49691.199999999997</v>
      </c>
      <c r="M109" s="6"/>
      <c r="N109" s="63">
        <f t="shared" si="27"/>
        <v>720.52239999999995</v>
      </c>
      <c r="O109" s="60">
        <f t="shared" si="39"/>
        <v>17128.556639999999</v>
      </c>
      <c r="P109" s="69">
        <f>MATCH(D109,'OGB Contributions'!A:A,0)</f>
        <v>25</v>
      </c>
      <c r="Q109" s="58">
        <f>INDEX('OGB Contributions'!B:B,Sheet1!P109)</f>
        <v>431.64</v>
      </c>
      <c r="R109" s="61">
        <f t="shared" si="30"/>
        <v>5179.68</v>
      </c>
      <c r="S109" s="3">
        <f>81.96*12</f>
        <v>983.52</v>
      </c>
      <c r="T109" s="58">
        <f t="shared" si="37"/>
        <v>73703.479039999991</v>
      </c>
    </row>
    <row r="110" spans="1:20" x14ac:dyDescent="0.2">
      <c r="A110" s="14">
        <v>150</v>
      </c>
      <c r="B110" s="3" t="s">
        <v>308</v>
      </c>
      <c r="C110" s="3" t="s">
        <v>67</v>
      </c>
      <c r="D110" s="3" t="s">
        <v>316</v>
      </c>
      <c r="E110" s="3" t="s">
        <v>317</v>
      </c>
      <c r="F110" s="4">
        <v>51.92</v>
      </c>
      <c r="G110" s="1">
        <f t="shared" si="38"/>
        <v>4153.6000000000004</v>
      </c>
      <c r="H110" s="3" t="s">
        <v>618</v>
      </c>
      <c r="I110" s="3" t="s">
        <v>70</v>
      </c>
      <c r="J110" s="3" t="s">
        <v>318</v>
      </c>
      <c r="K110" s="5">
        <v>1</v>
      </c>
      <c r="L110" s="4">
        <v>108000</v>
      </c>
      <c r="M110" s="6"/>
      <c r="N110" s="63">
        <f t="shared" si="27"/>
        <v>1566</v>
      </c>
      <c r="O110" s="60">
        <f t="shared" si="39"/>
        <v>37227.599999999999</v>
      </c>
      <c r="P110" s="69">
        <f>MATCH(D110,'OGB Contributions'!A:A,0)</f>
        <v>32</v>
      </c>
      <c r="Q110" s="58">
        <f>INDEX('OGB Contributions'!B:B,Sheet1!P110)</f>
        <v>657.54</v>
      </c>
      <c r="R110" s="61">
        <f t="shared" si="30"/>
        <v>7890.48</v>
      </c>
      <c r="S110" s="3">
        <v>553.79999999999995</v>
      </c>
      <c r="T110" s="58">
        <f t="shared" si="37"/>
        <v>155237.88</v>
      </c>
    </row>
    <row r="111" spans="1:20" x14ac:dyDescent="0.2">
      <c r="A111" s="14">
        <v>150</v>
      </c>
      <c r="B111" s="3" t="s">
        <v>308</v>
      </c>
      <c r="C111" s="40" t="s">
        <v>853</v>
      </c>
      <c r="D111" s="3" t="s">
        <v>319</v>
      </c>
      <c r="E111" s="3" t="s">
        <v>320</v>
      </c>
      <c r="F111" s="4">
        <v>39.700000000000003</v>
      </c>
      <c r="G111" s="1">
        <f t="shared" si="38"/>
        <v>3176</v>
      </c>
      <c r="H111" s="3" t="s">
        <v>618</v>
      </c>
      <c r="I111" s="3" t="s">
        <v>43</v>
      </c>
      <c r="J111" s="3" t="s">
        <v>321</v>
      </c>
      <c r="K111" s="5">
        <v>1</v>
      </c>
      <c r="L111" s="4">
        <v>82576</v>
      </c>
      <c r="M111" s="6"/>
      <c r="N111" s="63">
        <f t="shared" si="27"/>
        <v>1197.3520000000001</v>
      </c>
      <c r="O111" s="60">
        <f t="shared" si="39"/>
        <v>28463.947200000002</v>
      </c>
      <c r="P111" s="69">
        <f>MATCH(D111,'OGB Contributions'!A:A,0)</f>
        <v>33</v>
      </c>
      <c r="Q111" s="58">
        <f>INDEX('OGB Contributions'!B:B,Sheet1!P111)</f>
        <v>675.84</v>
      </c>
      <c r="R111" s="61">
        <f t="shared" si="30"/>
        <v>8110.08</v>
      </c>
      <c r="S111" s="3">
        <f>58.54*12</f>
        <v>702.48</v>
      </c>
      <c r="T111" s="58">
        <f t="shared" si="37"/>
        <v>121049.85920000001</v>
      </c>
    </row>
    <row r="112" spans="1:20" x14ac:dyDescent="0.2">
      <c r="A112" s="14">
        <v>150</v>
      </c>
      <c r="B112" s="3" t="s">
        <v>308</v>
      </c>
      <c r="C112" s="3" t="s">
        <v>130</v>
      </c>
      <c r="D112" s="3" t="s">
        <v>322</v>
      </c>
      <c r="E112" s="3" t="s">
        <v>323</v>
      </c>
      <c r="F112" s="4">
        <v>24.85</v>
      </c>
      <c r="G112" s="1">
        <f t="shared" si="38"/>
        <v>1988</v>
      </c>
      <c r="H112" s="3" t="s">
        <v>618</v>
      </c>
      <c r="I112" s="3" t="s">
        <v>50</v>
      </c>
      <c r="J112" s="3" t="s">
        <v>324</v>
      </c>
      <c r="K112" s="5">
        <v>1</v>
      </c>
      <c r="L112" s="4">
        <v>51688</v>
      </c>
      <c r="M112" s="68">
        <f>(F112*10.5%)*2080</f>
        <v>5427.24</v>
      </c>
      <c r="N112" s="63">
        <f t="shared" si="27"/>
        <v>749.476</v>
      </c>
      <c r="O112" s="60">
        <f t="shared" si="39"/>
        <v>17816.853599999999</v>
      </c>
      <c r="P112" s="69">
        <f>MATCH(D112,'OGB Contributions'!A:A,0)</f>
        <v>39</v>
      </c>
      <c r="Q112" s="58">
        <f>INDEX('OGB Contributions'!B:B,Sheet1!P112)</f>
        <v>653.84</v>
      </c>
      <c r="R112" s="61">
        <f t="shared" si="30"/>
        <v>7846.08</v>
      </c>
      <c r="S112" s="3">
        <f>26.92*12</f>
        <v>323.04000000000002</v>
      </c>
      <c r="T112" s="58">
        <f t="shared" si="37"/>
        <v>83850.689599999998</v>
      </c>
    </row>
    <row r="113" spans="1:20" x14ac:dyDescent="0.2">
      <c r="A113" s="14">
        <v>150</v>
      </c>
      <c r="B113" s="3" t="s">
        <v>308</v>
      </c>
      <c r="C113" s="3" t="s">
        <v>248</v>
      </c>
      <c r="D113" s="3" t="s">
        <v>325</v>
      </c>
      <c r="E113" s="3" t="s">
        <v>326</v>
      </c>
      <c r="F113" s="4">
        <v>34.79</v>
      </c>
      <c r="G113" s="1">
        <f t="shared" si="38"/>
        <v>2783.2</v>
      </c>
      <c r="H113" s="3" t="s">
        <v>618</v>
      </c>
      <c r="I113" s="3" t="s">
        <v>25</v>
      </c>
      <c r="J113" s="3" t="s">
        <v>327</v>
      </c>
      <c r="K113" s="5">
        <v>1</v>
      </c>
      <c r="L113" s="4">
        <v>72363.199999999997</v>
      </c>
      <c r="M113" s="6"/>
      <c r="N113" s="63">
        <f t="shared" si="27"/>
        <v>1049.2664</v>
      </c>
      <c r="O113" s="60">
        <f t="shared" si="39"/>
        <v>24943.59504</v>
      </c>
      <c r="P113" s="69">
        <f>MATCH(D113,'OGB Contributions'!A:A,0)</f>
        <v>65</v>
      </c>
      <c r="Q113" s="58">
        <f>INDEX('OGB Contributions'!B:B,Sheet1!P113)</f>
        <v>408.54</v>
      </c>
      <c r="R113" s="61">
        <f t="shared" si="30"/>
        <v>4902.4800000000005</v>
      </c>
      <c r="S113" s="3">
        <f>12*32.08</f>
        <v>384.96</v>
      </c>
      <c r="T113" s="58">
        <f t="shared" si="37"/>
        <v>103643.50143999999</v>
      </c>
    </row>
    <row r="114" spans="1:20" x14ac:dyDescent="0.2">
      <c r="A114" s="14">
        <v>150</v>
      </c>
      <c r="B114" s="3" t="s">
        <v>308</v>
      </c>
      <c r="C114" s="3" t="s">
        <v>75</v>
      </c>
      <c r="D114" s="3" t="s">
        <v>328</v>
      </c>
      <c r="E114" s="3" t="s">
        <v>329</v>
      </c>
      <c r="F114" s="4">
        <v>26.44</v>
      </c>
      <c r="G114" s="1">
        <f t="shared" si="38"/>
        <v>2115.2000000000003</v>
      </c>
      <c r="H114" s="3" t="s">
        <v>618</v>
      </c>
      <c r="I114" s="3" t="s">
        <v>3</v>
      </c>
      <c r="J114" s="3" t="s">
        <v>330</v>
      </c>
      <c r="K114" s="5">
        <v>1</v>
      </c>
      <c r="L114" s="4">
        <v>55000</v>
      </c>
      <c r="M114" s="6"/>
      <c r="N114" s="63">
        <f t="shared" si="27"/>
        <v>797.5</v>
      </c>
      <c r="O114" s="60">
        <f t="shared" si="39"/>
        <v>18958.5</v>
      </c>
      <c r="P114" s="69" t="e">
        <f>MATCH(D114,'OGB Contributions'!A:A,0)</f>
        <v>#N/A</v>
      </c>
      <c r="Q114" s="58" t="e">
        <f>INDEX('OGB Contributions'!B:B,Sheet1!P114)</f>
        <v>#N/A</v>
      </c>
      <c r="R114" s="61"/>
      <c r="T114" s="58">
        <f t="shared" si="37"/>
        <v>74756</v>
      </c>
    </row>
    <row r="115" spans="1:20" x14ac:dyDescent="0.2">
      <c r="A115" s="14">
        <v>150</v>
      </c>
      <c r="B115" s="3" t="s">
        <v>308</v>
      </c>
      <c r="C115" s="3" t="s">
        <v>75</v>
      </c>
      <c r="D115" s="3" t="s">
        <v>331</v>
      </c>
      <c r="E115" s="3" t="s">
        <v>332</v>
      </c>
      <c r="F115" s="4">
        <v>25.67</v>
      </c>
      <c r="G115" s="1">
        <f t="shared" si="38"/>
        <v>2053.6000000000004</v>
      </c>
      <c r="H115" s="3" t="s">
        <v>618</v>
      </c>
      <c r="I115" s="3" t="s">
        <v>3</v>
      </c>
      <c r="J115" s="3" t="s">
        <v>333</v>
      </c>
      <c r="K115" s="5">
        <v>1</v>
      </c>
      <c r="L115" s="4">
        <v>53393.599999999999</v>
      </c>
      <c r="M115" s="6"/>
      <c r="N115" s="63">
        <f t="shared" si="27"/>
        <v>774.20720000000006</v>
      </c>
      <c r="O115" s="60">
        <f t="shared" si="39"/>
        <v>18404.77392</v>
      </c>
      <c r="P115" s="69">
        <f>MATCH(D115,'OGB Contributions'!A:A,0)</f>
        <v>76</v>
      </c>
      <c r="Q115" s="58">
        <f>INDEX('OGB Contributions'!B:B,Sheet1!P115)</f>
        <v>0.6</v>
      </c>
      <c r="R115" s="61">
        <f t="shared" si="30"/>
        <v>7.1999999999999993</v>
      </c>
      <c r="T115" s="58">
        <f t="shared" si="37"/>
        <v>72579.781119999985</v>
      </c>
    </row>
    <row r="116" spans="1:20" x14ac:dyDescent="0.2">
      <c r="A116" s="14">
        <v>150</v>
      </c>
      <c r="B116" s="3" t="s">
        <v>308</v>
      </c>
      <c r="C116" s="3" t="s">
        <v>334</v>
      </c>
      <c r="D116" s="3" t="s">
        <v>335</v>
      </c>
      <c r="E116" s="3" t="s">
        <v>336</v>
      </c>
      <c r="F116" s="4">
        <v>33.96</v>
      </c>
      <c r="G116" s="1">
        <f t="shared" si="38"/>
        <v>2716.8</v>
      </c>
      <c r="H116" s="3" t="s">
        <v>618</v>
      </c>
      <c r="I116" s="3" t="s">
        <v>337</v>
      </c>
      <c r="J116" s="3" t="s">
        <v>338</v>
      </c>
      <c r="K116" s="5">
        <v>1</v>
      </c>
      <c r="L116" s="4">
        <v>70647</v>
      </c>
      <c r="M116" s="6"/>
      <c r="N116" s="63">
        <f t="shared" si="27"/>
        <v>1024.3815</v>
      </c>
      <c r="O116" s="60">
        <f t="shared" si="39"/>
        <v>24352.0209</v>
      </c>
      <c r="P116" s="69">
        <f>MATCH(D116,'OGB Contributions'!A:A,0)</f>
        <v>78</v>
      </c>
      <c r="Q116" s="58">
        <f>INDEX('OGB Contributions'!B:B,Sheet1!P116)</f>
        <v>477.44</v>
      </c>
      <c r="R116" s="61">
        <f t="shared" si="30"/>
        <v>5729.28</v>
      </c>
      <c r="S116" s="3">
        <f>81.96*12</f>
        <v>983.52</v>
      </c>
      <c r="T116" s="58">
        <f t="shared" si="37"/>
        <v>102736.20240000001</v>
      </c>
    </row>
    <row r="117" spans="1:20" x14ac:dyDescent="0.2">
      <c r="A117" s="14">
        <v>150</v>
      </c>
      <c r="B117" s="3" t="s">
        <v>308</v>
      </c>
      <c r="C117" s="3" t="s">
        <v>143</v>
      </c>
      <c r="D117" s="3" t="s">
        <v>339</v>
      </c>
      <c r="E117" s="3" t="s">
        <v>340</v>
      </c>
      <c r="F117" s="4">
        <v>16.829999999999998</v>
      </c>
      <c r="G117" s="1">
        <f t="shared" si="38"/>
        <v>1346.3999999999999</v>
      </c>
      <c r="H117" s="3" t="s">
        <v>618</v>
      </c>
      <c r="I117" s="3" t="s">
        <v>128</v>
      </c>
      <c r="J117" s="3" t="s">
        <v>341</v>
      </c>
      <c r="K117" s="5">
        <v>1</v>
      </c>
      <c r="L117" s="4">
        <v>35000</v>
      </c>
      <c r="M117" s="6"/>
      <c r="N117" s="63">
        <f t="shared" si="27"/>
        <v>507.5</v>
      </c>
      <c r="O117" s="60">
        <f t="shared" si="39"/>
        <v>12064.5</v>
      </c>
      <c r="P117" s="69">
        <f>MATCH(D117,'OGB Contributions'!A:A,0)</f>
        <v>81</v>
      </c>
      <c r="Q117" s="58">
        <f>INDEX('OGB Contributions'!B:B,Sheet1!P117)</f>
        <v>1200.3599999999999</v>
      </c>
      <c r="R117" s="61">
        <f t="shared" si="30"/>
        <v>14404.32</v>
      </c>
      <c r="S117" s="3">
        <f>81.96*12</f>
        <v>983.52</v>
      </c>
      <c r="T117" s="58">
        <f t="shared" si="37"/>
        <v>62959.839999999997</v>
      </c>
    </row>
    <row r="118" spans="1:20" x14ac:dyDescent="0.2">
      <c r="A118" s="14">
        <v>150</v>
      </c>
      <c r="B118" s="3" t="s">
        <v>308</v>
      </c>
      <c r="C118" s="3" t="s">
        <v>75</v>
      </c>
      <c r="D118" s="3" t="s">
        <v>342</v>
      </c>
      <c r="E118" s="3" t="s">
        <v>343</v>
      </c>
      <c r="F118" s="4">
        <v>28.26</v>
      </c>
      <c r="G118" s="1">
        <f t="shared" si="38"/>
        <v>2260.8000000000002</v>
      </c>
      <c r="H118" s="3" t="s">
        <v>618</v>
      </c>
      <c r="I118" s="3" t="s">
        <v>3</v>
      </c>
      <c r="J118" s="3" t="s">
        <v>344</v>
      </c>
      <c r="K118" s="5">
        <v>1</v>
      </c>
      <c r="L118" s="4">
        <v>58780.800000000003</v>
      </c>
      <c r="M118" s="6"/>
      <c r="N118" s="63">
        <f t="shared" si="27"/>
        <v>852.3216000000001</v>
      </c>
      <c r="O118" s="60">
        <f t="shared" si="39"/>
        <v>20261.741760000001</v>
      </c>
      <c r="P118" s="69">
        <f>MATCH(D118,'OGB Contributions'!A:A,0)</f>
        <v>83</v>
      </c>
      <c r="Q118" s="58">
        <f>INDEX('OGB Contributions'!B:B,Sheet1!P118)</f>
        <v>668.84</v>
      </c>
      <c r="R118" s="61">
        <f t="shared" si="30"/>
        <v>8026.08</v>
      </c>
      <c r="S118" s="3">
        <f>26.92*12</f>
        <v>323.04000000000002</v>
      </c>
      <c r="T118" s="58">
        <f t="shared" si="37"/>
        <v>88243.983359999998</v>
      </c>
    </row>
    <row r="119" spans="1:20" x14ac:dyDescent="0.2">
      <c r="A119" s="14">
        <v>150</v>
      </c>
      <c r="B119" s="3" t="s">
        <v>308</v>
      </c>
      <c r="C119" s="3" t="s">
        <v>118</v>
      </c>
      <c r="D119" s="3" t="s">
        <v>345</v>
      </c>
      <c r="E119" s="3" t="s">
        <v>346</v>
      </c>
      <c r="F119" s="4">
        <v>36.15</v>
      </c>
      <c r="G119" s="1">
        <f t="shared" si="38"/>
        <v>2892</v>
      </c>
      <c r="H119" s="3" t="s">
        <v>618</v>
      </c>
      <c r="I119" s="3" t="s">
        <v>22</v>
      </c>
      <c r="J119" s="3" t="s">
        <v>347</v>
      </c>
      <c r="K119" s="5">
        <v>1</v>
      </c>
      <c r="L119" s="4">
        <v>75192</v>
      </c>
      <c r="M119" s="6"/>
      <c r="N119" s="63">
        <f t="shared" si="27"/>
        <v>1090.2840000000001</v>
      </c>
      <c r="O119" s="60">
        <f t="shared" si="39"/>
        <v>25918.682400000002</v>
      </c>
      <c r="P119" s="69">
        <f>MATCH(D119,'OGB Contributions'!A:A,0)</f>
        <v>86</v>
      </c>
      <c r="Q119" s="58">
        <f>INDEX('OGB Contributions'!B:B,Sheet1!P119)</f>
        <v>749.54</v>
      </c>
      <c r="R119" s="61">
        <f t="shared" si="30"/>
        <v>8994.48</v>
      </c>
      <c r="T119" s="58">
        <f t="shared" si="37"/>
        <v>111195.4464</v>
      </c>
    </row>
    <row r="120" spans="1:20" x14ac:dyDescent="0.2">
      <c r="A120" s="14">
        <v>150</v>
      </c>
      <c r="B120" s="3" t="s">
        <v>308</v>
      </c>
      <c r="C120" s="40" t="s">
        <v>853</v>
      </c>
      <c r="D120" s="3" t="s">
        <v>348</v>
      </c>
      <c r="E120" s="3" t="s">
        <v>349</v>
      </c>
      <c r="F120" s="4">
        <v>29.29</v>
      </c>
      <c r="G120" s="1">
        <f t="shared" si="38"/>
        <v>2343.1999999999998</v>
      </c>
      <c r="H120" s="3" t="s">
        <v>618</v>
      </c>
      <c r="I120" s="3" t="s">
        <v>43</v>
      </c>
      <c r="J120" s="3" t="s">
        <v>350</v>
      </c>
      <c r="K120" s="5">
        <v>1</v>
      </c>
      <c r="L120" s="4">
        <v>60923.199999999997</v>
      </c>
      <c r="M120" s="6"/>
      <c r="N120" s="63">
        <f t="shared" si="27"/>
        <v>883.38639999999998</v>
      </c>
      <c r="O120" s="60">
        <f t="shared" si="39"/>
        <v>21000.227039999998</v>
      </c>
      <c r="P120" s="69">
        <f>MATCH(D120,'OGB Contributions'!A:A,0)</f>
        <v>95</v>
      </c>
      <c r="Q120" s="58">
        <f>INDEX('OGB Contributions'!B:B,Sheet1!P120)</f>
        <v>659.2</v>
      </c>
      <c r="R120" s="61">
        <f t="shared" si="30"/>
        <v>7910.4000000000005</v>
      </c>
      <c r="T120" s="58">
        <f t="shared" si="37"/>
        <v>90717.213439999992</v>
      </c>
    </row>
    <row r="121" spans="1:20" x14ac:dyDescent="0.2">
      <c r="A121" s="14">
        <v>150</v>
      </c>
      <c r="B121" s="3" t="s">
        <v>308</v>
      </c>
      <c r="C121" s="3" t="s">
        <v>130</v>
      </c>
      <c r="D121" s="3" t="s">
        <v>351</v>
      </c>
      <c r="E121" s="3" t="s">
        <v>352</v>
      </c>
      <c r="F121" s="4">
        <v>19.47</v>
      </c>
      <c r="G121" s="1">
        <f t="shared" si="38"/>
        <v>1557.6</v>
      </c>
      <c r="H121" s="3" t="s">
        <v>618</v>
      </c>
      <c r="I121" s="3" t="s">
        <v>50</v>
      </c>
      <c r="J121" s="3" t="s">
        <v>353</v>
      </c>
      <c r="K121" s="5">
        <v>1</v>
      </c>
      <c r="L121" s="4">
        <v>40497.599999999999</v>
      </c>
      <c r="M121" s="68">
        <f>(F121*10.5%)*2080</f>
        <v>4252.2479999999996</v>
      </c>
      <c r="N121" s="63">
        <f t="shared" si="27"/>
        <v>587.21519999999998</v>
      </c>
      <c r="O121" s="60">
        <f t="shared" si="39"/>
        <v>13959.522719999999</v>
      </c>
      <c r="P121" s="69">
        <f>MATCH(D121,'OGB Contributions'!A:A,0)</f>
        <v>108</v>
      </c>
      <c r="Q121" s="58">
        <f>INDEX('OGB Contributions'!B:B,Sheet1!P121)</f>
        <v>660.84</v>
      </c>
      <c r="R121" s="61">
        <f t="shared" si="30"/>
        <v>7930.08</v>
      </c>
      <c r="S121" s="3">
        <f>26.92*12</f>
        <v>323.04000000000002</v>
      </c>
      <c r="T121" s="58">
        <f t="shared" si="37"/>
        <v>67549.705919999993</v>
      </c>
    </row>
    <row r="122" spans="1:20" x14ac:dyDescent="0.2">
      <c r="A122" s="14">
        <v>150</v>
      </c>
      <c r="B122" s="3" t="s">
        <v>308</v>
      </c>
      <c r="C122" s="3" t="s">
        <v>118</v>
      </c>
      <c r="D122" s="3" t="s">
        <v>354</v>
      </c>
      <c r="E122" s="3" t="s">
        <v>355</v>
      </c>
      <c r="F122" s="4">
        <v>34.51</v>
      </c>
      <c r="G122" s="1">
        <f t="shared" si="38"/>
        <v>2760.7999999999997</v>
      </c>
      <c r="H122" s="3" t="s">
        <v>618</v>
      </c>
      <c r="I122" s="3" t="s">
        <v>22</v>
      </c>
      <c r="J122" s="3" t="s">
        <v>356</v>
      </c>
      <c r="K122" s="5">
        <v>1</v>
      </c>
      <c r="L122" s="4">
        <v>71780.800000000003</v>
      </c>
      <c r="M122" s="6"/>
      <c r="N122" s="63">
        <f t="shared" si="27"/>
        <v>1040.8216</v>
      </c>
      <c r="O122" s="60">
        <f t="shared" si="39"/>
        <v>24742.841760000003</v>
      </c>
      <c r="P122" s="69">
        <f>MATCH(D122,'OGB Contributions'!A:A,0)</f>
        <v>110</v>
      </c>
      <c r="Q122" s="58">
        <f>INDEX('OGB Contributions'!B:B,Sheet1!P122)</f>
        <v>1150.8</v>
      </c>
      <c r="R122" s="61">
        <f t="shared" si="30"/>
        <v>13809.599999999999</v>
      </c>
      <c r="S122" s="3">
        <f>50.84*12</f>
        <v>610.08000000000004</v>
      </c>
      <c r="T122" s="58">
        <f t="shared" si="37"/>
        <v>111984.14336</v>
      </c>
    </row>
    <row r="123" spans="1:20" x14ac:dyDescent="0.2">
      <c r="A123" s="14">
        <v>150</v>
      </c>
      <c r="B123" s="3" t="s">
        <v>308</v>
      </c>
      <c r="C123" s="3" t="s">
        <v>75</v>
      </c>
      <c r="D123" s="3" t="s">
        <v>357</v>
      </c>
      <c r="E123" s="3" t="s">
        <v>358</v>
      </c>
      <c r="F123" s="4">
        <v>20</v>
      </c>
      <c r="G123" s="1">
        <f t="shared" si="38"/>
        <v>0</v>
      </c>
      <c r="H123" s="3" t="s">
        <v>618</v>
      </c>
      <c r="I123" s="3" t="s">
        <v>3</v>
      </c>
      <c r="J123" s="3" t="s">
        <v>359</v>
      </c>
      <c r="K123" s="5">
        <v>0</v>
      </c>
      <c r="L123" s="4">
        <v>41600</v>
      </c>
      <c r="M123" s="6"/>
      <c r="N123" s="63">
        <f t="shared" si="27"/>
        <v>603.20000000000005</v>
      </c>
      <c r="O123" s="60">
        <f t="shared" si="39"/>
        <v>14339.52</v>
      </c>
      <c r="P123" s="69"/>
      <c r="Q123" s="58"/>
      <c r="R123" s="61"/>
      <c r="T123" s="58">
        <f t="shared" si="37"/>
        <v>56542.720000000001</v>
      </c>
    </row>
    <row r="124" spans="1:20" x14ac:dyDescent="0.2">
      <c r="A124" s="14">
        <v>150</v>
      </c>
      <c r="B124" s="3" t="s">
        <v>308</v>
      </c>
      <c r="C124" s="3" t="s">
        <v>75</v>
      </c>
      <c r="D124" s="3" t="s">
        <v>360</v>
      </c>
      <c r="E124" s="3" t="s">
        <v>361</v>
      </c>
      <c r="F124" s="4">
        <v>31.25</v>
      </c>
      <c r="G124" s="1">
        <f t="shared" si="38"/>
        <v>2500</v>
      </c>
      <c r="H124" s="3" t="s">
        <v>618</v>
      </c>
      <c r="I124" s="3" t="s">
        <v>3</v>
      </c>
      <c r="J124" s="3" t="s">
        <v>362</v>
      </c>
      <c r="K124" s="5">
        <v>1</v>
      </c>
      <c r="L124" s="4">
        <v>65000</v>
      </c>
      <c r="M124" s="6"/>
      <c r="N124" s="63">
        <f t="shared" si="27"/>
        <v>942.5</v>
      </c>
      <c r="O124" s="60">
        <f t="shared" si="39"/>
        <v>22405.5</v>
      </c>
      <c r="P124" s="69">
        <f>MATCH(D124,'OGB Contributions'!A:A,0)</f>
        <v>130</v>
      </c>
      <c r="Q124" s="58">
        <f>INDEX('OGB Contributions'!B:B,Sheet1!P124)</f>
        <v>749.54</v>
      </c>
      <c r="R124" s="61">
        <f t="shared" si="30"/>
        <v>8994.48</v>
      </c>
      <c r="S124" s="3">
        <f>12*74.94</f>
        <v>899.28</v>
      </c>
      <c r="T124" s="58">
        <f t="shared" si="37"/>
        <v>98241.76</v>
      </c>
    </row>
    <row r="125" spans="1:20" s="43" customFormat="1" x14ac:dyDescent="0.2">
      <c r="A125" s="50">
        <v>150</v>
      </c>
      <c r="B125" s="43" t="s">
        <v>308</v>
      </c>
      <c r="C125" s="44" t="s">
        <v>853</v>
      </c>
      <c r="D125" s="49" t="s">
        <v>638</v>
      </c>
      <c r="F125" s="45">
        <v>29.29</v>
      </c>
      <c r="G125" s="46">
        <f>F125*K125*80</f>
        <v>2343.1999999999998</v>
      </c>
      <c r="H125" s="43" t="s">
        <v>618</v>
      </c>
      <c r="I125" s="43" t="s">
        <v>43</v>
      </c>
      <c r="J125" s="103">
        <v>50677028</v>
      </c>
      <c r="K125" s="47">
        <v>1</v>
      </c>
      <c r="L125" s="45">
        <v>60923.199999999997</v>
      </c>
      <c r="M125" s="48"/>
      <c r="N125" s="93">
        <f t="shared" si="27"/>
        <v>883.38639999999998</v>
      </c>
      <c r="O125" s="76">
        <f t="shared" si="39"/>
        <v>21000.227039999998</v>
      </c>
      <c r="P125" s="78" t="e">
        <f>MATCH(D125,'OGB Contributions'!A:A,0)</f>
        <v>#N/A</v>
      </c>
      <c r="Q125" s="76"/>
      <c r="R125" s="79">
        <f t="shared" si="30"/>
        <v>0</v>
      </c>
      <c r="T125" s="77">
        <f t="shared" si="37"/>
        <v>82806.813439999998</v>
      </c>
    </row>
    <row r="126" spans="1:20" s="43" customFormat="1" ht="12" customHeight="1" x14ac:dyDescent="0.2">
      <c r="A126" s="50">
        <v>150</v>
      </c>
      <c r="B126" s="43" t="s">
        <v>308</v>
      </c>
      <c r="C126" s="43" t="s">
        <v>75</v>
      </c>
      <c r="D126" s="49" t="s">
        <v>638</v>
      </c>
      <c r="F126" s="45">
        <v>26.44</v>
      </c>
      <c r="G126" s="46">
        <f>F126*K126*80</f>
        <v>2115.2000000000003</v>
      </c>
      <c r="H126" s="43" t="s">
        <v>618</v>
      </c>
      <c r="I126" s="43" t="s">
        <v>3</v>
      </c>
      <c r="J126" s="103">
        <v>50677029</v>
      </c>
      <c r="K126" s="47">
        <v>1</v>
      </c>
      <c r="L126" s="45">
        <v>55000</v>
      </c>
      <c r="M126" s="48"/>
      <c r="N126" s="93">
        <f t="shared" si="27"/>
        <v>797.5</v>
      </c>
      <c r="O126" s="76">
        <f t="shared" si="39"/>
        <v>18958.5</v>
      </c>
      <c r="P126" s="78" t="e">
        <f>MATCH(D126,'OGB Contributions'!A:A,0)</f>
        <v>#N/A</v>
      </c>
      <c r="Q126" s="76"/>
      <c r="R126" s="79">
        <f t="shared" si="30"/>
        <v>0</v>
      </c>
      <c r="T126" s="77">
        <f t="shared" si="37"/>
        <v>74756</v>
      </c>
    </row>
    <row r="127" spans="1:20" s="43" customFormat="1" x14ac:dyDescent="0.2">
      <c r="A127" s="50">
        <v>150</v>
      </c>
      <c r="B127" s="43" t="s">
        <v>308</v>
      </c>
      <c r="C127" s="43" t="s">
        <v>75</v>
      </c>
      <c r="D127" s="49" t="s">
        <v>638</v>
      </c>
      <c r="F127" s="45">
        <v>25.67</v>
      </c>
      <c r="G127" s="46">
        <f>F127*K127*80</f>
        <v>0</v>
      </c>
      <c r="H127" s="44" t="s">
        <v>641</v>
      </c>
      <c r="I127" s="43" t="s">
        <v>3</v>
      </c>
      <c r="J127" s="103"/>
      <c r="K127" s="47">
        <v>0</v>
      </c>
      <c r="L127" s="45">
        <f>F127*1245</f>
        <v>31959.15</v>
      </c>
      <c r="M127" s="48"/>
      <c r="N127" s="93">
        <f t="shared" si="27"/>
        <v>463.40767500000004</v>
      </c>
      <c r="O127" s="76">
        <f t="shared" si="39"/>
        <v>11016.319005000001</v>
      </c>
      <c r="P127" s="78" t="e">
        <f>MATCH(D127,'OGB Contributions'!A:A,0)</f>
        <v>#N/A</v>
      </c>
      <c r="Q127" s="76"/>
      <c r="R127" s="79">
        <f t="shared" si="30"/>
        <v>0</v>
      </c>
      <c r="T127" s="77">
        <f t="shared" si="37"/>
        <v>43438.876680000001</v>
      </c>
    </row>
    <row r="128" spans="1:20" s="43" customFormat="1" x14ac:dyDescent="0.2">
      <c r="A128" s="50">
        <v>150</v>
      </c>
      <c r="B128" s="43" t="s">
        <v>308</v>
      </c>
      <c r="C128" s="43" t="s">
        <v>75</v>
      </c>
      <c r="D128" s="49" t="s">
        <v>639</v>
      </c>
      <c r="F128" s="45">
        <v>25.67</v>
      </c>
      <c r="G128" s="46"/>
      <c r="H128" s="44" t="s">
        <v>641</v>
      </c>
      <c r="I128" s="43" t="s">
        <v>3</v>
      </c>
      <c r="J128" s="103"/>
      <c r="K128" s="143" t="s">
        <v>862</v>
      </c>
      <c r="L128" s="45">
        <f>F128*1245</f>
        <v>31959.15</v>
      </c>
      <c r="M128" s="48"/>
      <c r="N128" s="93">
        <f t="shared" si="27"/>
        <v>463.40767500000004</v>
      </c>
      <c r="O128" s="76">
        <f t="shared" si="39"/>
        <v>11016.319005000001</v>
      </c>
      <c r="P128" s="78" t="e">
        <f>MATCH(D128,'OGB Contributions'!A:A,0)</f>
        <v>#N/A</v>
      </c>
      <c r="Q128" s="76"/>
      <c r="R128" s="79">
        <f t="shared" si="30"/>
        <v>0</v>
      </c>
      <c r="T128" s="77">
        <f t="shared" si="37"/>
        <v>43438.876680000001</v>
      </c>
    </row>
    <row r="129" spans="1:20" s="8" customFormat="1" x14ac:dyDescent="0.2">
      <c r="A129" s="18">
        <v>150</v>
      </c>
      <c r="B129" s="8" t="s">
        <v>308</v>
      </c>
      <c r="C129" s="8" t="s">
        <v>75</v>
      </c>
      <c r="D129" s="42" t="s">
        <v>640</v>
      </c>
      <c r="F129" s="10">
        <v>25.67</v>
      </c>
      <c r="G129" s="11">
        <f>F129*K129*80</f>
        <v>0</v>
      </c>
      <c r="H129" s="51" t="s">
        <v>641</v>
      </c>
      <c r="I129" s="8" t="s">
        <v>3</v>
      </c>
      <c r="K129" s="12">
        <v>0</v>
      </c>
      <c r="L129" s="10">
        <f>F129*1245</f>
        <v>31959.15</v>
      </c>
      <c r="M129" s="13"/>
      <c r="N129" s="64">
        <f t="shared" si="27"/>
        <v>463.40767500000004</v>
      </c>
      <c r="O129" s="62">
        <f t="shared" si="39"/>
        <v>11016.319005000001</v>
      </c>
      <c r="P129" s="70" t="e">
        <f>MATCH(D129,'OGB Contributions'!A:A,0)</f>
        <v>#N/A</v>
      </c>
      <c r="Q129" s="62"/>
      <c r="R129" s="73">
        <f t="shared" si="30"/>
        <v>0</v>
      </c>
      <c r="T129" s="67">
        <f t="shared" si="37"/>
        <v>43438.876680000001</v>
      </c>
    </row>
    <row r="130" spans="1:20" s="22" customFormat="1" ht="13.5" thickBot="1" x14ac:dyDescent="0.25">
      <c r="D130" s="39" t="s">
        <v>625</v>
      </c>
      <c r="F130" s="23"/>
      <c r="G130" s="23"/>
      <c r="K130" s="24"/>
      <c r="L130" s="23">
        <f>SUM(L108:L126)*0.03</f>
        <v>34652.562000000005</v>
      </c>
      <c r="M130" s="25"/>
      <c r="N130" s="66"/>
      <c r="T130" s="66">
        <f>L130</f>
        <v>34652.562000000005</v>
      </c>
    </row>
    <row r="131" spans="1:20" s="14" customFormat="1" x14ac:dyDescent="0.2">
      <c r="A131" s="14">
        <v>110</v>
      </c>
      <c r="B131" s="14" t="s">
        <v>363</v>
      </c>
      <c r="C131" s="14" t="s">
        <v>364</v>
      </c>
      <c r="D131" s="14" t="s">
        <v>365</v>
      </c>
      <c r="E131" s="14" t="s">
        <v>366</v>
      </c>
      <c r="F131" s="15">
        <v>26.44</v>
      </c>
      <c r="G131" s="1">
        <f t="shared" ref="G131:G142" si="40">F131*K131*80</f>
        <v>2115.2000000000003</v>
      </c>
      <c r="H131" s="14" t="s">
        <v>618</v>
      </c>
      <c r="I131" s="14" t="s">
        <v>242</v>
      </c>
      <c r="J131" s="14" t="s">
        <v>367</v>
      </c>
      <c r="K131" s="16">
        <v>1</v>
      </c>
      <c r="L131" s="15">
        <v>55000</v>
      </c>
      <c r="M131" s="68">
        <f>(F131*10.5%)*2080</f>
        <v>5774.4960000000001</v>
      </c>
      <c r="N131" s="63">
        <f t="shared" si="27"/>
        <v>797.5</v>
      </c>
      <c r="O131" s="60">
        <f t="shared" ref="O131:O142" si="41">$O$2*L131</f>
        <v>18958.5</v>
      </c>
      <c r="P131" s="69">
        <f>MATCH(D131,'OGB Contributions'!A:A,0)</f>
        <v>3</v>
      </c>
      <c r="Q131" s="58">
        <f>INDEX('OGB Contributions'!B:B,Sheet1!P131)</f>
        <v>653.84</v>
      </c>
      <c r="R131" s="61">
        <f t="shared" si="30"/>
        <v>7846.08</v>
      </c>
      <c r="S131" s="14">
        <f>53.84*12</f>
        <v>646.08000000000004</v>
      </c>
      <c r="T131" s="58">
        <f t="shared" si="37"/>
        <v>89022.656000000003</v>
      </c>
    </row>
    <row r="132" spans="1:20" x14ac:dyDescent="0.2">
      <c r="A132" s="14">
        <v>110</v>
      </c>
      <c r="B132" s="3" t="s">
        <v>363</v>
      </c>
      <c r="C132" s="3" t="s">
        <v>75</v>
      </c>
      <c r="D132" s="3" t="s">
        <v>368</v>
      </c>
      <c r="E132" s="3" t="s">
        <v>369</v>
      </c>
      <c r="F132" s="4">
        <v>32.200000000000003</v>
      </c>
      <c r="G132" s="1">
        <f t="shared" si="40"/>
        <v>2576</v>
      </c>
      <c r="H132" s="3" t="s">
        <v>618</v>
      </c>
      <c r="I132" s="3" t="s">
        <v>3</v>
      </c>
      <c r="J132" s="3" t="s">
        <v>370</v>
      </c>
      <c r="K132" s="5">
        <v>1</v>
      </c>
      <c r="L132" s="4">
        <v>66976</v>
      </c>
      <c r="M132" s="6"/>
      <c r="N132" s="63">
        <f t="shared" si="27"/>
        <v>971.15200000000004</v>
      </c>
      <c r="O132" s="60">
        <f t="shared" si="41"/>
        <v>23086.627199999999</v>
      </c>
      <c r="P132" s="69">
        <f>MATCH(D132,'OGB Contributions'!A:A,0)</f>
        <v>5</v>
      </c>
      <c r="Q132" s="58">
        <f>INDEX('OGB Contributions'!B:B,Sheet1!P132)</f>
        <v>653.84</v>
      </c>
      <c r="R132" s="61">
        <f t="shared" si="30"/>
        <v>7846.08</v>
      </c>
      <c r="S132" s="3">
        <f>74.94*12</f>
        <v>899.28</v>
      </c>
      <c r="T132" s="58">
        <f t="shared" si="37"/>
        <v>99779.139200000005</v>
      </c>
    </row>
    <row r="133" spans="1:20" x14ac:dyDescent="0.2">
      <c r="A133" s="14">
        <v>110</v>
      </c>
      <c r="B133" s="3" t="s">
        <v>363</v>
      </c>
      <c r="C133" s="3" t="s">
        <v>130</v>
      </c>
      <c r="D133" s="3" t="s">
        <v>371</v>
      </c>
      <c r="E133" s="3" t="s">
        <v>372</v>
      </c>
      <c r="F133" s="4">
        <v>22.5</v>
      </c>
      <c r="G133" s="1">
        <f t="shared" si="40"/>
        <v>1800</v>
      </c>
      <c r="H133" s="3" t="s">
        <v>618</v>
      </c>
      <c r="I133" s="3" t="s">
        <v>50</v>
      </c>
      <c r="J133" s="3" t="s">
        <v>373</v>
      </c>
      <c r="K133" s="5">
        <v>1</v>
      </c>
      <c r="L133" s="4">
        <v>46800</v>
      </c>
      <c r="M133" s="68">
        <f>(F133*10.5%)*2080</f>
        <v>4914</v>
      </c>
      <c r="N133" s="63">
        <f t="shared" si="27"/>
        <v>678.6</v>
      </c>
      <c r="O133" s="60">
        <f t="shared" si="41"/>
        <v>16131.960000000001</v>
      </c>
      <c r="P133" s="69">
        <f>MATCH(D133,'OGB Contributions'!A:A,0)</f>
        <v>35</v>
      </c>
      <c r="Q133" s="58">
        <f>INDEX('OGB Contributions'!B:B,Sheet1!P133)</f>
        <v>653.84</v>
      </c>
      <c r="R133" s="61">
        <f t="shared" si="30"/>
        <v>7846.08</v>
      </c>
      <c r="T133" s="58">
        <f t="shared" si="37"/>
        <v>76370.64</v>
      </c>
    </row>
    <row r="134" spans="1:20" x14ac:dyDescent="0.2">
      <c r="A134" s="14">
        <v>110</v>
      </c>
      <c r="B134" s="3" t="s">
        <v>363</v>
      </c>
      <c r="C134" s="3" t="s">
        <v>374</v>
      </c>
      <c r="D134" s="3" t="s">
        <v>375</v>
      </c>
      <c r="E134" s="3" t="s">
        <v>376</v>
      </c>
      <c r="F134" s="4">
        <v>37.090000000000003</v>
      </c>
      <c r="G134" s="1">
        <f t="shared" si="40"/>
        <v>2967.2000000000003</v>
      </c>
      <c r="H134" s="3" t="s">
        <v>618</v>
      </c>
      <c r="I134" s="3" t="s">
        <v>25</v>
      </c>
      <c r="J134" s="3" t="s">
        <v>377</v>
      </c>
      <c r="K134" s="5">
        <v>1</v>
      </c>
      <c r="L134" s="4">
        <v>77147.199999999997</v>
      </c>
      <c r="M134" s="6"/>
      <c r="N134" s="63">
        <f t="shared" si="27"/>
        <v>1118.6343999999999</v>
      </c>
      <c r="O134" s="60">
        <f t="shared" si="41"/>
        <v>26592.63984</v>
      </c>
      <c r="P134" s="69">
        <f>MATCH(D134,'OGB Contributions'!A:A,0)</f>
        <v>40</v>
      </c>
      <c r="Q134" s="58">
        <f>INDEX('OGB Contributions'!B:B,Sheet1!P134)</f>
        <v>679.72</v>
      </c>
      <c r="R134" s="61">
        <f t="shared" si="30"/>
        <v>8156.64</v>
      </c>
      <c r="S134" s="3">
        <f>26.92*12</f>
        <v>323.04000000000002</v>
      </c>
      <c r="T134" s="58">
        <f t="shared" si="37"/>
        <v>113338.15423999999</v>
      </c>
    </row>
    <row r="135" spans="1:20" x14ac:dyDescent="0.2">
      <c r="A135" s="14">
        <v>110</v>
      </c>
      <c r="B135" s="3" t="s">
        <v>363</v>
      </c>
      <c r="C135" s="3" t="s">
        <v>364</v>
      </c>
      <c r="D135" s="3" t="s">
        <v>378</v>
      </c>
      <c r="E135" s="3" t="s">
        <v>379</v>
      </c>
      <c r="F135" s="4">
        <v>25.69</v>
      </c>
      <c r="G135" s="1">
        <f t="shared" si="40"/>
        <v>2055.2000000000003</v>
      </c>
      <c r="H135" s="3" t="s">
        <v>618</v>
      </c>
      <c r="I135" s="3" t="s">
        <v>242</v>
      </c>
      <c r="J135" s="3" t="s">
        <v>380</v>
      </c>
      <c r="K135" s="5">
        <v>1</v>
      </c>
      <c r="L135" s="4">
        <v>53435.199999999997</v>
      </c>
      <c r="M135" s="6"/>
      <c r="N135" s="63">
        <f t="shared" si="27"/>
        <v>774.81039999999996</v>
      </c>
      <c r="O135" s="60">
        <f t="shared" si="41"/>
        <v>18419.113440000001</v>
      </c>
      <c r="P135" s="69">
        <f>MATCH(D135,'OGB Contributions'!A:A,0)</f>
        <v>57</v>
      </c>
      <c r="Q135" s="58">
        <f>INDEX('OGB Contributions'!B:B,Sheet1!P135)</f>
        <v>653.84</v>
      </c>
      <c r="R135" s="61">
        <f t="shared" si="30"/>
        <v>7846.08</v>
      </c>
      <c r="T135" s="58">
        <f t="shared" si="37"/>
        <v>80475.203840000002</v>
      </c>
    </row>
    <row r="136" spans="1:20" x14ac:dyDescent="0.2">
      <c r="A136" s="14">
        <v>110</v>
      </c>
      <c r="B136" s="3" t="s">
        <v>363</v>
      </c>
      <c r="C136" s="3" t="s">
        <v>118</v>
      </c>
      <c r="D136" s="3" t="s">
        <v>381</v>
      </c>
      <c r="E136" s="3" t="s">
        <v>382</v>
      </c>
      <c r="F136" s="4">
        <v>39.619999999999997</v>
      </c>
      <c r="G136" s="1">
        <f t="shared" si="40"/>
        <v>3169.6</v>
      </c>
      <c r="H136" s="3" t="s">
        <v>618</v>
      </c>
      <c r="I136" s="3" t="s">
        <v>22</v>
      </c>
      <c r="J136" s="3" t="s">
        <v>383</v>
      </c>
      <c r="K136" s="5">
        <v>1</v>
      </c>
      <c r="L136" s="4">
        <v>82409.600000000006</v>
      </c>
      <c r="M136" s="6"/>
      <c r="N136" s="63">
        <f t="shared" si="27"/>
        <v>1194.9392000000003</v>
      </c>
      <c r="O136" s="60">
        <f t="shared" si="41"/>
        <v>28406.589120000004</v>
      </c>
      <c r="P136" s="69">
        <f>MATCH(D136,'OGB Contributions'!A:A,0)</f>
        <v>62</v>
      </c>
      <c r="Q136" s="58">
        <f>INDEX('OGB Contributions'!B:B,Sheet1!P136)</f>
        <v>1194.3599999999999</v>
      </c>
      <c r="R136" s="61">
        <f t="shared" si="30"/>
        <v>14332.32</v>
      </c>
      <c r="S136" s="3">
        <f>81.96*12</f>
        <v>983.52</v>
      </c>
      <c r="T136" s="58">
        <f t="shared" si="37"/>
        <v>127326.96832</v>
      </c>
    </row>
    <row r="137" spans="1:20" x14ac:dyDescent="0.2">
      <c r="A137" s="14">
        <v>110</v>
      </c>
      <c r="B137" s="3" t="s">
        <v>363</v>
      </c>
      <c r="C137" s="3" t="s">
        <v>75</v>
      </c>
      <c r="D137" s="3" t="s">
        <v>384</v>
      </c>
      <c r="E137" s="3" t="s">
        <v>385</v>
      </c>
      <c r="F137" s="4">
        <v>28.33</v>
      </c>
      <c r="G137" s="1">
        <f t="shared" si="40"/>
        <v>2266.3999999999996</v>
      </c>
      <c r="H137" s="3" t="s">
        <v>618</v>
      </c>
      <c r="I137" s="3" t="s">
        <v>3</v>
      </c>
      <c r="J137" s="3" t="s">
        <v>386</v>
      </c>
      <c r="K137" s="5">
        <v>1</v>
      </c>
      <c r="L137" s="4">
        <v>58926.400000000001</v>
      </c>
      <c r="M137" s="6"/>
      <c r="N137" s="63">
        <f t="shared" si="27"/>
        <v>854.43280000000004</v>
      </c>
      <c r="O137" s="60">
        <f t="shared" si="41"/>
        <v>20311.930080000002</v>
      </c>
      <c r="P137" s="69">
        <f>MATCH(D137,'OGB Contributions'!A:A,0)</f>
        <v>73</v>
      </c>
      <c r="Q137" s="58">
        <f>INDEX('OGB Contributions'!B:B,Sheet1!P137)</f>
        <v>675.84</v>
      </c>
      <c r="R137" s="61">
        <f t="shared" si="30"/>
        <v>8110.08</v>
      </c>
      <c r="S137" s="3">
        <f>12*32.08</f>
        <v>384.96</v>
      </c>
      <c r="T137" s="58">
        <f t="shared" si="37"/>
        <v>88587.802880000017</v>
      </c>
    </row>
    <row r="138" spans="1:20" x14ac:dyDescent="0.2">
      <c r="A138" s="14">
        <v>110</v>
      </c>
      <c r="B138" s="3" t="s">
        <v>363</v>
      </c>
      <c r="C138" s="3" t="s">
        <v>75</v>
      </c>
      <c r="D138" s="3" t="s">
        <v>387</v>
      </c>
      <c r="E138" s="3" t="s">
        <v>388</v>
      </c>
      <c r="F138" s="4">
        <v>27.87</v>
      </c>
      <c r="G138" s="1">
        <f t="shared" si="40"/>
        <v>2229.6</v>
      </c>
      <c r="H138" s="3" t="s">
        <v>618</v>
      </c>
      <c r="I138" s="3" t="s">
        <v>8</v>
      </c>
      <c r="J138" s="3" t="s">
        <v>389</v>
      </c>
      <c r="K138" s="5">
        <v>1</v>
      </c>
      <c r="L138" s="4">
        <v>57969.599999999999</v>
      </c>
      <c r="M138" s="6"/>
      <c r="N138" s="63">
        <f t="shared" si="27"/>
        <v>840.55920000000003</v>
      </c>
      <c r="O138" s="60">
        <f t="shared" si="41"/>
        <v>19982.12112</v>
      </c>
      <c r="P138" s="69">
        <f>MATCH(D138,'OGB Contributions'!A:A,0)</f>
        <v>96</v>
      </c>
      <c r="Q138" s="58">
        <f>INDEX('OGB Contributions'!B:B,Sheet1!P138)</f>
        <v>675.84</v>
      </c>
      <c r="R138" s="61">
        <f t="shared" si="30"/>
        <v>8110.08</v>
      </c>
      <c r="S138" s="3">
        <f>12*32.08</f>
        <v>384.96</v>
      </c>
      <c r="T138" s="58">
        <f t="shared" si="37"/>
        <v>87287.320320000013</v>
      </c>
    </row>
    <row r="139" spans="1:20" x14ac:dyDescent="0.2">
      <c r="A139" s="14">
        <v>110</v>
      </c>
      <c r="B139" s="3" t="s">
        <v>363</v>
      </c>
      <c r="C139" s="3" t="s">
        <v>143</v>
      </c>
      <c r="D139" s="3" t="s">
        <v>390</v>
      </c>
      <c r="E139" s="3" t="s">
        <v>391</v>
      </c>
      <c r="F139" s="4">
        <v>18</v>
      </c>
      <c r="G139" s="1">
        <f t="shared" si="40"/>
        <v>1440</v>
      </c>
      <c r="H139" s="3" t="s">
        <v>618</v>
      </c>
      <c r="I139" s="3" t="s">
        <v>128</v>
      </c>
      <c r="J139" s="3" t="s">
        <v>392</v>
      </c>
      <c r="K139" s="5">
        <v>1</v>
      </c>
      <c r="L139" s="4">
        <v>37440</v>
      </c>
      <c r="M139" s="6"/>
      <c r="N139" s="63">
        <f t="shared" si="27"/>
        <v>542.88</v>
      </c>
      <c r="O139" s="60">
        <f t="shared" si="41"/>
        <v>12905.568000000001</v>
      </c>
      <c r="P139" s="69">
        <f>MATCH(D139,'OGB Contributions'!A:A,0)</f>
        <v>101</v>
      </c>
      <c r="Q139" s="58">
        <f>INDEX('OGB Contributions'!B:B,Sheet1!P139)</f>
        <v>675.84</v>
      </c>
      <c r="R139" s="61">
        <f t="shared" si="30"/>
        <v>8110.08</v>
      </c>
      <c r="S139" s="3">
        <f>12*32.08</f>
        <v>384.96</v>
      </c>
      <c r="T139" s="58">
        <f t="shared" si="37"/>
        <v>59383.487999999998</v>
      </c>
    </row>
    <row r="140" spans="1:20" x14ac:dyDescent="0.2">
      <c r="A140" s="14">
        <v>110</v>
      </c>
      <c r="B140" s="3" t="s">
        <v>363</v>
      </c>
      <c r="C140" s="3" t="s">
        <v>130</v>
      </c>
      <c r="D140" s="3" t="s">
        <v>393</v>
      </c>
      <c r="E140" s="3" t="s">
        <v>394</v>
      </c>
      <c r="F140" s="4">
        <v>20.83</v>
      </c>
      <c r="G140" s="1">
        <f t="shared" si="40"/>
        <v>1666.3999999999999</v>
      </c>
      <c r="H140" s="3" t="s">
        <v>618</v>
      </c>
      <c r="I140" s="3" t="s">
        <v>50</v>
      </c>
      <c r="J140" s="3" t="s">
        <v>395</v>
      </c>
      <c r="K140" s="5">
        <v>1</v>
      </c>
      <c r="L140" s="4">
        <v>43326.400000000001</v>
      </c>
      <c r="M140" s="6"/>
      <c r="N140" s="63">
        <f t="shared" si="27"/>
        <v>628.2328</v>
      </c>
      <c r="O140" s="60">
        <f t="shared" si="41"/>
        <v>14934.61008</v>
      </c>
      <c r="P140" s="69">
        <f>MATCH(D140,'OGB Contributions'!A:A,0)</f>
        <v>113</v>
      </c>
      <c r="Q140" s="58">
        <f>INDEX('OGB Contributions'!B:B,Sheet1!P140)</f>
        <v>660.84</v>
      </c>
      <c r="R140" s="61">
        <f t="shared" si="30"/>
        <v>7930.08</v>
      </c>
      <c r="S140" s="3">
        <f>12*32.08</f>
        <v>384.96</v>
      </c>
      <c r="T140" s="58">
        <f t="shared" si="37"/>
        <v>67204.282879999999</v>
      </c>
    </row>
    <row r="141" spans="1:20" x14ac:dyDescent="0.2">
      <c r="A141" s="14">
        <v>110</v>
      </c>
      <c r="B141" s="3" t="s">
        <v>363</v>
      </c>
      <c r="C141" s="3" t="s">
        <v>130</v>
      </c>
      <c r="D141" s="3" t="s">
        <v>396</v>
      </c>
      <c r="E141" s="3" t="s">
        <v>397</v>
      </c>
      <c r="F141" s="4">
        <v>21.32</v>
      </c>
      <c r="G141" s="1">
        <f t="shared" si="40"/>
        <v>1705.6</v>
      </c>
      <c r="H141" s="3" t="s">
        <v>618</v>
      </c>
      <c r="I141" s="3" t="s">
        <v>50</v>
      </c>
      <c r="J141" s="3" t="s">
        <v>398</v>
      </c>
      <c r="K141" s="5">
        <v>1</v>
      </c>
      <c r="L141" s="4">
        <v>44345.599999999999</v>
      </c>
      <c r="M141" s="68">
        <f>(F141*10.5%)*2080</f>
        <v>4656.2879999999996</v>
      </c>
      <c r="N141" s="63">
        <f t="shared" si="27"/>
        <v>643.01120000000003</v>
      </c>
      <c r="O141" s="60">
        <f t="shared" si="41"/>
        <v>15285.928319999999</v>
      </c>
      <c r="P141" s="69">
        <f>MATCH(D141,'OGB Contributions'!A:A,0)</f>
        <v>119</v>
      </c>
      <c r="Q141" s="58">
        <f>INDEX('OGB Contributions'!B:B,Sheet1!P141)</f>
        <v>236.3</v>
      </c>
      <c r="R141" s="61">
        <f t="shared" si="30"/>
        <v>2835.6000000000004</v>
      </c>
      <c r="S141" s="3">
        <f>12*32.08</f>
        <v>384.96</v>
      </c>
      <c r="T141" s="58">
        <f t="shared" si="37"/>
        <v>68151.387520000004</v>
      </c>
    </row>
    <row r="142" spans="1:20" x14ac:dyDescent="0.2">
      <c r="A142" s="14">
        <v>110</v>
      </c>
      <c r="B142" s="3" t="s">
        <v>363</v>
      </c>
      <c r="C142" s="3" t="s">
        <v>75</v>
      </c>
      <c r="D142" s="3" t="s">
        <v>399</v>
      </c>
      <c r="E142" s="3" t="s">
        <v>400</v>
      </c>
      <c r="F142" s="4">
        <v>30.56</v>
      </c>
      <c r="G142" s="1">
        <f t="shared" si="40"/>
        <v>2444.7999999999997</v>
      </c>
      <c r="H142" s="3" t="s">
        <v>618</v>
      </c>
      <c r="I142" s="3" t="s">
        <v>3</v>
      </c>
      <c r="J142" s="3" t="s">
        <v>401</v>
      </c>
      <c r="K142" s="5">
        <v>1</v>
      </c>
      <c r="L142" s="4">
        <v>63564.800000000003</v>
      </c>
      <c r="M142" s="6"/>
      <c r="N142" s="63">
        <f t="shared" si="27"/>
        <v>921.68960000000004</v>
      </c>
      <c r="O142" s="60">
        <f t="shared" si="41"/>
        <v>21910.78656</v>
      </c>
      <c r="P142" s="69">
        <f>MATCH(D142,'OGB Contributions'!A:A,0)</f>
        <v>146</v>
      </c>
      <c r="Q142" s="58">
        <f>INDEX('OGB Contributions'!B:B,Sheet1!P142)</f>
        <v>653.84</v>
      </c>
      <c r="R142" s="61">
        <f t="shared" si="30"/>
        <v>7846.08</v>
      </c>
      <c r="S142" s="3">
        <f>26.92*12</f>
        <v>323.04000000000002</v>
      </c>
      <c r="T142" s="58">
        <f t="shared" si="37"/>
        <v>94566.396160000004</v>
      </c>
    </row>
    <row r="143" spans="1:20" s="22" customFormat="1" ht="13.5" thickBot="1" x14ac:dyDescent="0.25">
      <c r="D143" s="39" t="s">
        <v>625</v>
      </c>
      <c r="F143" s="23"/>
      <c r="G143" s="23"/>
      <c r="K143" s="24"/>
      <c r="L143" s="23">
        <f>SUM(L131:L142)*0.03</f>
        <v>20620.224000000002</v>
      </c>
      <c r="M143" s="25"/>
      <c r="N143" s="66"/>
      <c r="T143" s="66">
        <f>L143</f>
        <v>20620.224000000002</v>
      </c>
    </row>
    <row r="144" spans="1:20" s="14" customFormat="1" x14ac:dyDescent="0.2">
      <c r="A144" s="14">
        <v>180</v>
      </c>
      <c r="B144" s="14" t="s">
        <v>402</v>
      </c>
      <c r="C144" s="14" t="s">
        <v>143</v>
      </c>
      <c r="D144" s="55" t="s">
        <v>403</v>
      </c>
      <c r="E144" s="14" t="s">
        <v>404</v>
      </c>
      <c r="F144" s="15">
        <v>21.79</v>
      </c>
      <c r="G144" s="1">
        <f t="shared" ref="G144:G149" si="42">F144*K144*80</f>
        <v>1743.1999999999998</v>
      </c>
      <c r="H144" s="14" t="s">
        <v>618</v>
      </c>
      <c r="I144" s="14" t="s">
        <v>128</v>
      </c>
      <c r="J144" s="14" t="s">
        <v>405</v>
      </c>
      <c r="K144" s="16">
        <v>1</v>
      </c>
      <c r="L144" s="15">
        <v>45323.199999999997</v>
      </c>
      <c r="M144" s="17"/>
      <c r="N144" s="63">
        <f t="shared" si="27"/>
        <v>657.18639999999994</v>
      </c>
      <c r="O144" s="60">
        <f t="shared" ref="O144:O149" si="43">$O$2*L144</f>
        <v>15622.90704</v>
      </c>
      <c r="P144" s="69" t="e">
        <f>MATCH(D144,'OGB Contributions'!A:A,0)</f>
        <v>#N/A</v>
      </c>
      <c r="Q144" s="58" t="e">
        <f>INDEX('OGB Contributions'!B:B,Sheet1!P144)</f>
        <v>#N/A</v>
      </c>
      <c r="R144" s="61"/>
      <c r="T144" s="58">
        <f t="shared" si="37"/>
        <v>61603.293439999994</v>
      </c>
    </row>
    <row r="145" spans="1:20" x14ac:dyDescent="0.2">
      <c r="A145" s="14">
        <v>180</v>
      </c>
      <c r="B145" s="3" t="s">
        <v>402</v>
      </c>
      <c r="C145" s="3" t="s">
        <v>75</v>
      </c>
      <c r="D145" s="3" t="s">
        <v>406</v>
      </c>
      <c r="E145" s="3" t="s">
        <v>407</v>
      </c>
      <c r="F145" s="4">
        <v>30.07</v>
      </c>
      <c r="G145" s="1">
        <f t="shared" si="42"/>
        <v>2405.6</v>
      </c>
      <c r="H145" s="3" t="s">
        <v>618</v>
      </c>
      <c r="I145" s="3" t="s">
        <v>3</v>
      </c>
      <c r="J145" s="3" t="s">
        <v>408</v>
      </c>
      <c r="K145" s="5">
        <v>1</v>
      </c>
      <c r="L145" s="4">
        <v>62545.599999999999</v>
      </c>
      <c r="M145" s="6"/>
      <c r="N145" s="63">
        <f t="shared" si="27"/>
        <v>906.91120000000001</v>
      </c>
      <c r="O145" s="60">
        <f t="shared" si="43"/>
        <v>21559.46832</v>
      </c>
      <c r="P145" s="69" t="e">
        <f>MATCH(D145,'OGB Contributions'!A:A,0)</f>
        <v>#N/A</v>
      </c>
      <c r="Q145" s="58" t="e">
        <f>INDEX('OGB Contributions'!B:B,Sheet1!P145)</f>
        <v>#N/A</v>
      </c>
      <c r="R145" s="61"/>
      <c r="T145" s="58">
        <f t="shared" si="37"/>
        <v>85011.979519999993</v>
      </c>
    </row>
    <row r="146" spans="1:20" x14ac:dyDescent="0.2">
      <c r="A146" s="14">
        <v>180</v>
      </c>
      <c r="B146" s="3" t="s">
        <v>402</v>
      </c>
      <c r="C146" s="40" t="s">
        <v>853</v>
      </c>
      <c r="D146" s="3" t="s">
        <v>409</v>
      </c>
      <c r="E146" s="3" t="s">
        <v>410</v>
      </c>
      <c r="F146" s="4">
        <v>33.5</v>
      </c>
      <c r="G146" s="1">
        <f t="shared" si="42"/>
        <v>2680</v>
      </c>
      <c r="H146" s="3" t="s">
        <v>618</v>
      </c>
      <c r="I146" s="3" t="s">
        <v>43</v>
      </c>
      <c r="J146" s="3" t="s">
        <v>411</v>
      </c>
      <c r="K146" s="5">
        <v>1</v>
      </c>
      <c r="L146" s="4">
        <v>69680</v>
      </c>
      <c r="M146" s="6"/>
      <c r="N146" s="63">
        <f t="shared" si="27"/>
        <v>1010.36</v>
      </c>
      <c r="O146" s="60">
        <f t="shared" si="43"/>
        <v>24018.696</v>
      </c>
      <c r="P146" s="69">
        <f>MATCH(D146,'OGB Contributions'!A:A,0)</f>
        <v>37</v>
      </c>
      <c r="Q146" s="58">
        <f>INDEX('OGB Contributions'!B:B,Sheet1!P146)</f>
        <v>409.24</v>
      </c>
      <c r="R146" s="61">
        <f t="shared" si="30"/>
        <v>4910.88</v>
      </c>
      <c r="S146" s="3">
        <f>26.92*12</f>
        <v>323.04000000000002</v>
      </c>
      <c r="T146" s="58">
        <f t="shared" si="37"/>
        <v>99942.975999999995</v>
      </c>
    </row>
    <row r="147" spans="1:20" x14ac:dyDescent="0.2">
      <c r="A147" s="14">
        <v>180</v>
      </c>
      <c r="B147" s="3" t="s">
        <v>402</v>
      </c>
      <c r="C147" s="3" t="s">
        <v>75</v>
      </c>
      <c r="D147" s="3" t="s">
        <v>412</v>
      </c>
      <c r="E147" s="3" t="s">
        <v>413</v>
      </c>
      <c r="F147" s="4">
        <v>24.6</v>
      </c>
      <c r="G147" s="1">
        <f t="shared" si="42"/>
        <v>1968</v>
      </c>
      <c r="H147" s="3" t="s">
        <v>618</v>
      </c>
      <c r="I147" s="3" t="s">
        <v>3</v>
      </c>
      <c r="J147" s="3" t="s">
        <v>414</v>
      </c>
      <c r="K147" s="5">
        <v>1</v>
      </c>
      <c r="L147" s="4">
        <v>51168</v>
      </c>
      <c r="M147" s="6"/>
      <c r="N147" s="63">
        <f t="shared" si="27"/>
        <v>741.93600000000004</v>
      </c>
      <c r="O147" s="60">
        <f t="shared" si="43"/>
        <v>17637.6096</v>
      </c>
      <c r="P147" s="69">
        <f>MATCH(D147,'OGB Contributions'!A:A,0)</f>
        <v>48</v>
      </c>
      <c r="Q147" s="58">
        <f>INDEX('OGB Contributions'!B:B,Sheet1!P147)</f>
        <v>720.84</v>
      </c>
      <c r="R147" s="61">
        <f t="shared" si="30"/>
        <v>8650.08</v>
      </c>
      <c r="S147" s="3">
        <f>26.92*12</f>
        <v>323.04000000000002</v>
      </c>
      <c r="T147" s="58">
        <f t="shared" si="37"/>
        <v>78520.665599999993</v>
      </c>
    </row>
    <row r="148" spans="1:20" x14ac:dyDescent="0.2">
      <c r="A148" s="14">
        <v>180</v>
      </c>
      <c r="B148" s="3" t="s">
        <v>402</v>
      </c>
      <c r="C148" s="3" t="s">
        <v>75</v>
      </c>
      <c r="D148" s="3" t="s">
        <v>416</v>
      </c>
      <c r="E148" s="3" t="s">
        <v>417</v>
      </c>
      <c r="F148" s="4">
        <v>31.19</v>
      </c>
      <c r="G148" s="1">
        <f t="shared" si="42"/>
        <v>2495.2000000000003</v>
      </c>
      <c r="H148" s="3" t="s">
        <v>618</v>
      </c>
      <c r="I148" s="3" t="s">
        <v>3</v>
      </c>
      <c r="J148" s="3" t="s">
        <v>418</v>
      </c>
      <c r="K148" s="5">
        <v>1</v>
      </c>
      <c r="L148" s="4">
        <v>64875.199999999997</v>
      </c>
      <c r="M148" s="6"/>
      <c r="N148" s="63">
        <f>$N$2*L148</f>
        <v>940.69039999999995</v>
      </c>
      <c r="O148" s="60">
        <f t="shared" si="43"/>
        <v>22362.48144</v>
      </c>
      <c r="P148" s="69" t="e">
        <f>MATCH(D148,'OGB Contributions'!A:A,0)</f>
        <v>#N/A</v>
      </c>
      <c r="Q148" s="58" t="e">
        <f>INDEX('OGB Contributions'!B:B,Sheet1!P148)</f>
        <v>#N/A</v>
      </c>
      <c r="R148" s="61"/>
      <c r="T148" s="58">
        <f t="shared" si="37"/>
        <v>88178.371840000007</v>
      </c>
    </row>
    <row r="149" spans="1:20" x14ac:dyDescent="0.2">
      <c r="A149" s="14">
        <v>180</v>
      </c>
      <c r="B149" s="3" t="s">
        <v>402</v>
      </c>
      <c r="C149" s="3" t="s">
        <v>105</v>
      </c>
      <c r="D149" s="40" t="s">
        <v>419</v>
      </c>
      <c r="E149" s="3" t="s">
        <v>420</v>
      </c>
      <c r="F149" s="4">
        <v>18.27</v>
      </c>
      <c r="G149" s="1">
        <f t="shared" si="42"/>
        <v>1461.6</v>
      </c>
      <c r="H149" s="3" t="s">
        <v>618</v>
      </c>
      <c r="I149" s="3" t="s">
        <v>8</v>
      </c>
      <c r="J149" s="3" t="s">
        <v>421</v>
      </c>
      <c r="K149" s="5">
        <v>1</v>
      </c>
      <c r="L149" s="4">
        <v>38000</v>
      </c>
      <c r="M149" s="68">
        <f>(F149*7%)*2080</f>
        <v>2660.1120000000001</v>
      </c>
      <c r="N149" s="63">
        <f>$N$2*L149</f>
        <v>551</v>
      </c>
      <c r="O149" s="60">
        <f t="shared" si="43"/>
        <v>13098.6</v>
      </c>
      <c r="P149" s="69">
        <f>MATCH(D149,'OGB Contributions'!A:A,0)</f>
        <v>135</v>
      </c>
      <c r="Q149" s="58">
        <f>INDEX('OGB Contributions'!B:B,Sheet1!P149)</f>
        <v>7</v>
      </c>
      <c r="R149" s="61">
        <f t="shared" si="30"/>
        <v>84</v>
      </c>
      <c r="S149" s="3">
        <f>26.92*12</f>
        <v>323.04000000000002</v>
      </c>
      <c r="T149" s="58">
        <f t="shared" si="37"/>
        <v>54716.752</v>
      </c>
    </row>
    <row r="150" spans="1:20" s="22" customFormat="1" ht="13.5" thickBot="1" x14ac:dyDescent="0.25">
      <c r="D150" s="39" t="s">
        <v>625</v>
      </c>
      <c r="F150" s="23"/>
      <c r="G150" s="23"/>
      <c r="K150" s="24"/>
      <c r="L150" s="23">
        <f>SUM(L144:L149)*0.03</f>
        <v>9947.76</v>
      </c>
      <c r="M150" s="25"/>
      <c r="N150" s="66"/>
      <c r="T150" s="66">
        <f>L150</f>
        <v>9947.76</v>
      </c>
    </row>
    <row r="151" spans="1:20" s="14" customFormat="1" x14ac:dyDescent="0.2">
      <c r="A151" s="30">
        <v>25</v>
      </c>
      <c r="B151" s="14" t="s">
        <v>422</v>
      </c>
      <c r="C151" s="55" t="s">
        <v>858</v>
      </c>
      <c r="D151" s="14" t="s">
        <v>423</v>
      </c>
      <c r="E151" s="14" t="s">
        <v>424</v>
      </c>
      <c r="F151" s="15">
        <v>37.11</v>
      </c>
      <c r="G151" s="1">
        <f t="shared" ref="G151:G155" si="44">F151*K151*80</f>
        <v>2968.8</v>
      </c>
      <c r="H151" s="14" t="s">
        <v>618</v>
      </c>
      <c r="I151" s="14" t="s">
        <v>43</v>
      </c>
      <c r="J151" s="14" t="s">
        <v>425</v>
      </c>
      <c r="K151" s="16">
        <v>1</v>
      </c>
      <c r="L151" s="15">
        <v>77188.800000000003</v>
      </c>
      <c r="M151" s="17"/>
      <c r="N151" s="63">
        <f>$N$2*L151</f>
        <v>1119.2376000000002</v>
      </c>
      <c r="O151" s="60">
        <f t="shared" ref="O151:O155" si="45">$O$2*L151</f>
        <v>26606.979360000001</v>
      </c>
      <c r="P151" s="69">
        <f>MATCH(D151,'OGB Contributions'!A:A,0)</f>
        <v>2</v>
      </c>
      <c r="Q151" s="58">
        <f>INDEX('OGB Contributions'!B:B,Sheet1!P151)</f>
        <v>816.54</v>
      </c>
      <c r="R151" s="61">
        <f t="shared" si="30"/>
        <v>9798.48</v>
      </c>
      <c r="S151" s="14">
        <f>58.54*12</f>
        <v>702.48</v>
      </c>
      <c r="T151" s="58">
        <f t="shared" si="37"/>
        <v>115415.97695999999</v>
      </c>
    </row>
    <row r="152" spans="1:20" x14ac:dyDescent="0.2">
      <c r="A152" s="2">
        <v>25</v>
      </c>
      <c r="B152" s="3" t="s">
        <v>422</v>
      </c>
      <c r="C152" s="3" t="s">
        <v>426</v>
      </c>
      <c r="D152" s="3" t="s">
        <v>427</v>
      </c>
      <c r="E152" s="3" t="s">
        <v>428</v>
      </c>
      <c r="F152" s="4">
        <v>51.73</v>
      </c>
      <c r="G152" s="1">
        <f t="shared" si="44"/>
        <v>4138.3999999999996</v>
      </c>
      <c r="H152" s="3" t="s">
        <v>618</v>
      </c>
      <c r="I152" s="3" t="s">
        <v>429</v>
      </c>
      <c r="J152" s="3" t="s">
        <v>430</v>
      </c>
      <c r="K152" s="5">
        <v>1</v>
      </c>
      <c r="L152" s="4">
        <v>107598.39999999999</v>
      </c>
      <c r="M152" s="6"/>
      <c r="N152" s="63">
        <f t="shared" ref="N152:N214" si="46">$N$2*L152</f>
        <v>1560.1768</v>
      </c>
      <c r="O152" s="60">
        <f t="shared" si="45"/>
        <v>37089.16848</v>
      </c>
      <c r="P152" s="69">
        <f>MATCH(D152,'OGB Contributions'!A:A,0)</f>
        <v>15</v>
      </c>
      <c r="Q152" s="58">
        <f>INDEX('OGB Contributions'!B:B,Sheet1!P152)</f>
        <v>756.54</v>
      </c>
      <c r="R152" s="61">
        <f t="shared" si="30"/>
        <v>9078.48</v>
      </c>
      <c r="S152" s="14">
        <f>58.54*12</f>
        <v>702.48</v>
      </c>
      <c r="T152" s="58">
        <f t="shared" si="37"/>
        <v>156028.70528000002</v>
      </c>
    </row>
    <row r="153" spans="1:20" x14ac:dyDescent="0.2">
      <c r="A153" s="2">
        <v>25</v>
      </c>
      <c r="B153" s="3" t="s">
        <v>422</v>
      </c>
      <c r="C153" s="40" t="s">
        <v>858</v>
      </c>
      <c r="D153" s="3" t="s">
        <v>431</v>
      </c>
      <c r="E153" s="3" t="s">
        <v>432</v>
      </c>
      <c r="F153" s="4">
        <v>32.96</v>
      </c>
      <c r="G153" s="1">
        <f t="shared" si="44"/>
        <v>2636.8</v>
      </c>
      <c r="H153" s="3" t="s">
        <v>618</v>
      </c>
      <c r="I153" s="3" t="s">
        <v>43</v>
      </c>
      <c r="J153" s="3" t="s">
        <v>433</v>
      </c>
      <c r="K153" s="5">
        <v>1</v>
      </c>
      <c r="L153" s="4">
        <v>68556.800000000003</v>
      </c>
      <c r="M153" s="6"/>
      <c r="N153" s="63">
        <f t="shared" si="46"/>
        <v>994.07360000000006</v>
      </c>
      <c r="O153" s="60">
        <f t="shared" si="45"/>
        <v>23631.52896</v>
      </c>
      <c r="P153" s="69">
        <f>MATCH(D153,'OGB Contributions'!A:A,0)</f>
        <v>67</v>
      </c>
      <c r="Q153" s="58">
        <f>INDEX('OGB Contributions'!B:B,Sheet1!P153)</f>
        <v>756.54</v>
      </c>
      <c r="R153" s="61">
        <f t="shared" si="30"/>
        <v>9078.48</v>
      </c>
      <c r="S153" s="14">
        <f>58.54*12</f>
        <v>702.48</v>
      </c>
      <c r="T153" s="58">
        <f t="shared" si="37"/>
        <v>102963.36255999999</v>
      </c>
    </row>
    <row r="154" spans="1:20" x14ac:dyDescent="0.2">
      <c r="A154" s="2">
        <v>25</v>
      </c>
      <c r="B154" s="3" t="s">
        <v>422</v>
      </c>
      <c r="C154" s="3" t="s">
        <v>434</v>
      </c>
      <c r="D154" s="3" t="s">
        <v>435</v>
      </c>
      <c r="E154" s="3" t="s">
        <v>436</v>
      </c>
      <c r="F154" s="4">
        <v>25.67</v>
      </c>
      <c r="G154" s="1">
        <f t="shared" si="44"/>
        <v>2053.6000000000004</v>
      </c>
      <c r="H154" s="3" t="s">
        <v>618</v>
      </c>
      <c r="I154" s="3" t="s">
        <v>50</v>
      </c>
      <c r="J154" s="3" t="s">
        <v>437</v>
      </c>
      <c r="K154" s="5">
        <v>1</v>
      </c>
      <c r="L154" s="4">
        <v>53393.599999999999</v>
      </c>
      <c r="M154" s="68">
        <f>(F154*7%)*2080</f>
        <v>3737.5520000000006</v>
      </c>
      <c r="N154" s="63">
        <f t="shared" si="46"/>
        <v>774.20720000000006</v>
      </c>
      <c r="O154" s="60">
        <f t="shared" si="45"/>
        <v>18404.77392</v>
      </c>
      <c r="P154" s="69">
        <f>MATCH(D154,'OGB Contributions'!A:A,0)</f>
        <v>129</v>
      </c>
      <c r="Q154" s="58">
        <f>INDEX('OGB Contributions'!B:B,Sheet1!P154)</f>
        <v>37</v>
      </c>
      <c r="R154" s="61">
        <f t="shared" si="30"/>
        <v>444</v>
      </c>
      <c r="T154" s="58">
        <f t="shared" si="37"/>
        <v>76754.133119999999</v>
      </c>
    </row>
    <row r="155" spans="1:20" x14ac:dyDescent="0.2">
      <c r="A155" s="2">
        <v>25</v>
      </c>
      <c r="B155" s="3" t="s">
        <v>422</v>
      </c>
      <c r="C155" s="3" t="s">
        <v>60</v>
      </c>
      <c r="D155" s="3" t="s">
        <v>438</v>
      </c>
      <c r="E155" s="3" t="s">
        <v>439</v>
      </c>
      <c r="F155" s="4">
        <v>11.3</v>
      </c>
      <c r="G155" s="1">
        <f t="shared" si="44"/>
        <v>0</v>
      </c>
      <c r="H155" s="3" t="s">
        <v>626</v>
      </c>
      <c r="I155" s="3" t="s">
        <v>60</v>
      </c>
      <c r="J155" s="3" t="s">
        <v>440</v>
      </c>
      <c r="K155" s="5">
        <v>0</v>
      </c>
      <c r="L155" s="4">
        <v>23504</v>
      </c>
      <c r="M155" s="6"/>
      <c r="N155" s="63">
        <f t="shared" si="46"/>
        <v>340.80799999999999</v>
      </c>
      <c r="O155" s="60">
        <f t="shared" si="45"/>
        <v>8101.8288000000002</v>
      </c>
      <c r="P155" s="69" t="e">
        <f>MATCH(D155,'OGB Contributions'!A:A,0)</f>
        <v>#N/A</v>
      </c>
      <c r="Q155" s="58" t="e">
        <f>INDEX('OGB Contributions'!B:B,Sheet1!P155)</f>
        <v>#N/A</v>
      </c>
      <c r="R155" s="61"/>
      <c r="T155" s="58">
        <f t="shared" si="37"/>
        <v>31946.6368</v>
      </c>
    </row>
    <row r="156" spans="1:20" s="8" customFormat="1" x14ac:dyDescent="0.2">
      <c r="A156" s="7">
        <v>25</v>
      </c>
      <c r="B156" s="37" t="s">
        <v>422</v>
      </c>
      <c r="C156" s="37" t="s">
        <v>15</v>
      </c>
      <c r="D156" s="52" t="s">
        <v>622</v>
      </c>
      <c r="F156" s="10">
        <v>20</v>
      </c>
      <c r="G156" s="10">
        <f t="shared" ref="G156" si="47">F156*K156*80</f>
        <v>0</v>
      </c>
      <c r="H156" s="51" t="s">
        <v>641</v>
      </c>
      <c r="I156" s="51" t="s">
        <v>3</v>
      </c>
      <c r="J156" s="102">
        <v>50567793</v>
      </c>
      <c r="K156" s="12">
        <v>0</v>
      </c>
      <c r="L156" s="10">
        <f>1245*F156</f>
        <v>24900</v>
      </c>
      <c r="M156" s="13"/>
      <c r="N156" s="64">
        <f t="shared" ref="N156" si="48">$N$2*L156</f>
        <v>361.05</v>
      </c>
      <c r="O156" s="62">
        <f t="shared" ref="O156" si="49">$O$2*L156</f>
        <v>8583.0300000000007</v>
      </c>
      <c r="P156" s="70" t="e">
        <f>MATCH(D156,'OGB Contributions'!A:A,0)</f>
        <v>#N/A</v>
      </c>
      <c r="Q156" s="67" t="e">
        <f>INDEX('OGB Contributions'!B:B,Sheet1!P156)</f>
        <v>#N/A</v>
      </c>
      <c r="R156" s="73"/>
      <c r="T156" s="67">
        <f t="shared" ref="T156" si="50">SUM(L156,M156,N156,O156,R156,S156)</f>
        <v>33844.080000000002</v>
      </c>
    </row>
    <row r="157" spans="1:20" s="22" customFormat="1" ht="13.5" thickBot="1" x14ac:dyDescent="0.25">
      <c r="D157" s="39" t="s">
        <v>625</v>
      </c>
      <c r="F157" s="23"/>
      <c r="G157" s="23"/>
      <c r="K157" s="24"/>
      <c r="L157" s="23">
        <f>SUM(L151:L154)*0.03</f>
        <v>9202.1279999999988</v>
      </c>
      <c r="M157" s="25"/>
      <c r="N157" s="66"/>
      <c r="T157" s="66">
        <f>L157</f>
        <v>9202.1279999999988</v>
      </c>
    </row>
    <row r="158" spans="1:20" s="14" customFormat="1" x14ac:dyDescent="0.2">
      <c r="A158" s="30">
        <v>30</v>
      </c>
      <c r="B158" s="14" t="s">
        <v>441</v>
      </c>
      <c r="C158" s="14" t="s">
        <v>442</v>
      </c>
      <c r="D158" s="55" t="s">
        <v>443</v>
      </c>
      <c r="E158" s="14" t="s">
        <v>444</v>
      </c>
      <c r="F158" s="15">
        <v>38.93</v>
      </c>
      <c r="G158" s="1">
        <f t="shared" ref="G158:G163" si="51">F158*K158*80</f>
        <v>3114.4</v>
      </c>
      <c r="H158" s="14" t="s">
        <v>618</v>
      </c>
      <c r="I158" s="14" t="s">
        <v>25</v>
      </c>
      <c r="J158" s="14" t="s">
        <v>445</v>
      </c>
      <c r="K158" s="16">
        <v>1</v>
      </c>
      <c r="L158" s="15">
        <v>80974.399999999994</v>
      </c>
      <c r="M158" s="17"/>
      <c r="N158" s="63">
        <f t="shared" si="46"/>
        <v>1174.1288</v>
      </c>
      <c r="O158" s="60">
        <f t="shared" ref="O158:O163" si="52">$O$2*L158</f>
        <v>27911.875679999997</v>
      </c>
      <c r="P158" s="69">
        <f>MATCH(D158,'OGB Contributions'!A:A,0)</f>
        <v>12</v>
      </c>
      <c r="Q158" s="58">
        <f>INDEX('OGB Contributions'!B:B,Sheet1!P158)</f>
        <v>749.54</v>
      </c>
      <c r="R158" s="61">
        <f t="shared" si="30"/>
        <v>8994.48</v>
      </c>
      <c r="S158" s="14">
        <f>109.16*12</f>
        <v>1309.92</v>
      </c>
      <c r="T158" s="58">
        <f t="shared" si="37"/>
        <v>120364.80447999999</v>
      </c>
    </row>
    <row r="159" spans="1:20" x14ac:dyDescent="0.2">
      <c r="A159" s="30">
        <v>30</v>
      </c>
      <c r="B159" s="3" t="s">
        <v>441</v>
      </c>
      <c r="C159" s="3" t="s">
        <v>446</v>
      </c>
      <c r="D159" s="3" t="s">
        <v>447</v>
      </c>
      <c r="E159" s="3" t="s">
        <v>448</v>
      </c>
      <c r="F159" s="4">
        <v>45.44</v>
      </c>
      <c r="G159" s="1">
        <f t="shared" si="51"/>
        <v>3635.2</v>
      </c>
      <c r="H159" s="3" t="s">
        <v>618</v>
      </c>
      <c r="I159" s="3" t="s">
        <v>22</v>
      </c>
      <c r="J159" s="3" t="s">
        <v>449</v>
      </c>
      <c r="K159" s="5">
        <v>1</v>
      </c>
      <c r="L159" s="4">
        <v>94515.199999999997</v>
      </c>
      <c r="M159" s="6"/>
      <c r="N159" s="63">
        <f t="shared" si="46"/>
        <v>1370.4703999999999</v>
      </c>
      <c r="O159" s="60">
        <f t="shared" si="52"/>
        <v>32579.389439999999</v>
      </c>
      <c r="P159" s="69">
        <f>MATCH(D159,'OGB Contributions'!A:A,0)</f>
        <v>20</v>
      </c>
      <c r="Q159" s="58">
        <f>INDEX('OGB Contributions'!B:B,Sheet1!P159)</f>
        <v>653.84</v>
      </c>
      <c r="R159" s="61">
        <f>Q159*12</f>
        <v>7846.08</v>
      </c>
      <c r="S159" s="3">
        <f>12*74.94</f>
        <v>899.28</v>
      </c>
      <c r="T159" s="58">
        <f t="shared" si="37"/>
        <v>137210.41983999999</v>
      </c>
    </row>
    <row r="160" spans="1:20" x14ac:dyDescent="0.2">
      <c r="A160" s="30">
        <v>30</v>
      </c>
      <c r="B160" s="3" t="s">
        <v>441</v>
      </c>
      <c r="C160" s="3" t="s">
        <v>446</v>
      </c>
      <c r="D160" s="3" t="s">
        <v>450</v>
      </c>
      <c r="E160" s="3" t="s">
        <v>451</v>
      </c>
      <c r="F160" s="4">
        <v>43.24</v>
      </c>
      <c r="G160" s="1">
        <f t="shared" si="51"/>
        <v>3459.2000000000003</v>
      </c>
      <c r="H160" s="3" t="s">
        <v>618</v>
      </c>
      <c r="I160" s="3" t="s">
        <v>22</v>
      </c>
      <c r="J160" s="3" t="s">
        <v>452</v>
      </c>
      <c r="K160" s="5">
        <v>1</v>
      </c>
      <c r="L160" s="4">
        <v>89939.199999999997</v>
      </c>
      <c r="M160" s="6"/>
      <c r="N160" s="63">
        <f t="shared" si="46"/>
        <v>1304.1184000000001</v>
      </c>
      <c r="O160" s="60">
        <f t="shared" si="52"/>
        <v>31002.042239999999</v>
      </c>
      <c r="P160" s="69" t="e">
        <f>MATCH(D160,'OGB Contributions'!A:A,0)</f>
        <v>#N/A</v>
      </c>
      <c r="Q160" s="58" t="e">
        <f>INDEX('OGB Contributions'!B:B,Sheet1!P160)</f>
        <v>#N/A</v>
      </c>
      <c r="R160" s="61">
        <f>1409.12*12</f>
        <v>16909.439999999999</v>
      </c>
      <c r="T160" s="58">
        <f t="shared" si="37"/>
        <v>139154.80064</v>
      </c>
    </row>
    <row r="161" spans="1:20" x14ac:dyDescent="0.2">
      <c r="A161" s="30">
        <v>30</v>
      </c>
      <c r="B161" s="3" t="s">
        <v>441</v>
      </c>
      <c r="C161" s="3" t="s">
        <v>453</v>
      </c>
      <c r="D161" s="40" t="s">
        <v>454</v>
      </c>
      <c r="E161" s="3" t="s">
        <v>455</v>
      </c>
      <c r="F161" s="4">
        <v>26.52</v>
      </c>
      <c r="G161" s="1">
        <f t="shared" si="51"/>
        <v>2121.6</v>
      </c>
      <c r="H161" s="3" t="s">
        <v>618</v>
      </c>
      <c r="I161" s="3" t="s">
        <v>43</v>
      </c>
      <c r="J161" s="3" t="s">
        <v>456</v>
      </c>
      <c r="K161" s="5">
        <v>1</v>
      </c>
      <c r="L161" s="4">
        <v>55161.599999999999</v>
      </c>
      <c r="M161" s="6"/>
      <c r="N161" s="63">
        <f t="shared" si="46"/>
        <v>799.84320000000002</v>
      </c>
      <c r="O161" s="60">
        <f t="shared" si="52"/>
        <v>19014.203519999999</v>
      </c>
      <c r="P161" s="69">
        <f>MATCH(D161,'OGB Contributions'!A:A,0)</f>
        <v>63</v>
      </c>
      <c r="Q161" s="58">
        <f>INDEX('OGB Contributions'!B:B,Sheet1!P161)</f>
        <v>554.17999999999995</v>
      </c>
      <c r="R161" s="61">
        <f>Q161*12</f>
        <v>6650.16</v>
      </c>
      <c r="S161" s="3">
        <f>26.92*12</f>
        <v>323.04000000000002</v>
      </c>
      <c r="T161" s="58">
        <f t="shared" si="37"/>
        <v>81948.846720000001</v>
      </c>
    </row>
    <row r="162" spans="1:20" x14ac:dyDescent="0.2">
      <c r="A162" s="30">
        <v>30</v>
      </c>
      <c r="B162" s="3" t="s">
        <v>441</v>
      </c>
      <c r="C162" s="3" t="s">
        <v>457</v>
      </c>
      <c r="D162" s="3" t="s">
        <v>458</v>
      </c>
      <c r="E162" s="3" t="s">
        <v>459</v>
      </c>
      <c r="F162" s="4">
        <v>57.92</v>
      </c>
      <c r="G162" s="1">
        <f t="shared" si="51"/>
        <v>4633.6000000000004</v>
      </c>
      <c r="H162" s="3" t="s">
        <v>618</v>
      </c>
      <c r="I162" s="3" t="s">
        <v>13</v>
      </c>
      <c r="J162" s="3" t="s">
        <v>460</v>
      </c>
      <c r="K162" s="5">
        <v>1</v>
      </c>
      <c r="L162" s="4">
        <v>120473.60000000001</v>
      </c>
      <c r="M162" s="6"/>
      <c r="N162" s="63">
        <f t="shared" si="46"/>
        <v>1746.8672000000001</v>
      </c>
      <c r="O162" s="60">
        <f t="shared" si="52"/>
        <v>41527.249920000002</v>
      </c>
      <c r="P162" s="69" t="e">
        <f>MATCH(D162,'OGB Contributions'!A:A,0)</f>
        <v>#N/A</v>
      </c>
      <c r="Q162" s="58" t="e">
        <f>INDEX('OGB Contributions'!B:B,Sheet1!P162)</f>
        <v>#N/A</v>
      </c>
      <c r="R162" s="61">
        <f>771.54*12</f>
        <v>9258.48</v>
      </c>
      <c r="S162" s="3">
        <f>12*74.94</f>
        <v>899.28</v>
      </c>
      <c r="T162" s="58">
        <f t="shared" si="37"/>
        <v>173905.47712</v>
      </c>
    </row>
    <row r="163" spans="1:20" x14ac:dyDescent="0.2">
      <c r="A163" s="30">
        <v>30</v>
      </c>
      <c r="B163" s="3" t="s">
        <v>441</v>
      </c>
      <c r="C163" s="3" t="s">
        <v>453</v>
      </c>
      <c r="D163" s="40" t="s">
        <v>461</v>
      </c>
      <c r="E163" s="3" t="s">
        <v>462</v>
      </c>
      <c r="F163" s="4">
        <v>35.79</v>
      </c>
      <c r="G163" s="1">
        <f t="shared" si="51"/>
        <v>2863.2</v>
      </c>
      <c r="H163" s="3" t="s">
        <v>618</v>
      </c>
      <c r="I163" s="3" t="s">
        <v>43</v>
      </c>
      <c r="J163" s="3" t="s">
        <v>463</v>
      </c>
      <c r="K163" s="5">
        <v>1</v>
      </c>
      <c r="L163" s="4">
        <v>74443.199999999997</v>
      </c>
      <c r="M163" s="6"/>
      <c r="N163" s="63">
        <f t="shared" si="46"/>
        <v>1079.4264000000001</v>
      </c>
      <c r="O163" s="60">
        <f t="shared" si="52"/>
        <v>25660.571039999999</v>
      </c>
      <c r="P163" s="69">
        <f>MATCH(D163,'OGB Contributions'!A:A,0)</f>
        <v>118</v>
      </c>
      <c r="Q163" s="58">
        <f>INDEX('OGB Contributions'!B:B,Sheet1!P163)</f>
        <v>1209.3599999999999</v>
      </c>
      <c r="R163" s="61">
        <f>Q163*12</f>
        <v>14512.32</v>
      </c>
      <c r="S163" s="3">
        <f>81.96*12</f>
        <v>983.52</v>
      </c>
      <c r="T163" s="58">
        <f t="shared" si="37"/>
        <v>116679.03744</v>
      </c>
    </row>
    <row r="164" spans="1:20" s="22" customFormat="1" ht="13.5" thickBot="1" x14ac:dyDescent="0.25">
      <c r="D164" s="39" t="s">
        <v>625</v>
      </c>
      <c r="F164" s="23"/>
      <c r="G164" s="23"/>
      <c r="K164" s="24"/>
      <c r="L164" s="23">
        <f>SUM(L158:L163)*0.03</f>
        <v>15465.216</v>
      </c>
      <c r="M164" s="25"/>
      <c r="N164" s="66"/>
      <c r="T164" s="66">
        <f>L164</f>
        <v>15465.216</v>
      </c>
    </row>
    <row r="165" spans="1:20" s="14" customFormat="1" x14ac:dyDescent="0.2">
      <c r="A165" s="30">
        <v>15</v>
      </c>
      <c r="B165" s="14" t="s">
        <v>464</v>
      </c>
      <c r="C165" s="14" t="s">
        <v>255</v>
      </c>
      <c r="D165" s="14" t="s">
        <v>465</v>
      </c>
      <c r="E165" s="14" t="s">
        <v>466</v>
      </c>
      <c r="F165" s="15">
        <v>25.06</v>
      </c>
      <c r="G165" s="1">
        <f>F165*K165*80</f>
        <v>2004.8</v>
      </c>
      <c r="H165" s="14" t="s">
        <v>618</v>
      </c>
      <c r="I165" s="14" t="s">
        <v>50</v>
      </c>
      <c r="J165" s="14" t="s">
        <v>467</v>
      </c>
      <c r="K165" s="16">
        <v>1</v>
      </c>
      <c r="L165" s="15">
        <v>52124.800000000003</v>
      </c>
      <c r="M165" s="17"/>
      <c r="N165" s="63">
        <f t="shared" si="46"/>
        <v>755.80960000000005</v>
      </c>
      <c r="O165" s="60">
        <f t="shared" ref="O165:O170" si="53">$O$2*L165</f>
        <v>17967.418560000002</v>
      </c>
      <c r="P165" s="69">
        <f>MATCH(D165,'OGB Contributions'!A:A,0)</f>
        <v>17</v>
      </c>
      <c r="Q165" s="58">
        <f>INDEX('OGB Contributions'!B:B,Sheet1!P165)</f>
        <v>749.54</v>
      </c>
      <c r="R165" s="61">
        <f>Q165*12</f>
        <v>8994.48</v>
      </c>
      <c r="S165" s="3">
        <f>81.96*12</f>
        <v>983.52</v>
      </c>
      <c r="T165" s="58">
        <f t="shared" si="37"/>
        <v>80826.028160000002</v>
      </c>
    </row>
    <row r="166" spans="1:20" x14ac:dyDescent="0.2">
      <c r="A166" s="30">
        <v>15</v>
      </c>
      <c r="B166" s="14" t="s">
        <v>464</v>
      </c>
      <c r="C166" s="3" t="s">
        <v>255</v>
      </c>
      <c r="D166" s="3" t="s">
        <v>256</v>
      </c>
      <c r="E166" s="3" t="s">
        <v>257</v>
      </c>
      <c r="F166" s="4">
        <v>26.22</v>
      </c>
      <c r="G166" s="1">
        <f>F166*K166*80</f>
        <v>2097.6</v>
      </c>
      <c r="H166" s="3" t="s">
        <v>618</v>
      </c>
      <c r="I166" s="3" t="s">
        <v>50</v>
      </c>
      <c r="J166" s="3" t="s">
        <v>258</v>
      </c>
      <c r="K166" s="5">
        <v>1</v>
      </c>
      <c r="L166" s="4">
        <v>54537.599999999999</v>
      </c>
      <c r="M166" s="6"/>
      <c r="N166" s="63">
        <f t="shared" si="46"/>
        <v>790.79520000000002</v>
      </c>
      <c r="O166" s="60">
        <f t="shared" si="53"/>
        <v>18799.110720000001</v>
      </c>
      <c r="P166" s="69">
        <f>MATCH(D166,'OGB Contributions'!A:A,0)</f>
        <v>80</v>
      </c>
      <c r="Q166" s="58">
        <f>INDEX('OGB Contributions'!B:B,Sheet1!P166)</f>
        <v>720.84</v>
      </c>
      <c r="R166" s="61">
        <f>Q166*12</f>
        <v>8650.08</v>
      </c>
      <c r="S166" s="3">
        <f>12*32.08</f>
        <v>384.96</v>
      </c>
      <c r="T166" s="58">
        <f>SUM(L166,M166,N166,O166,R166,S166)</f>
        <v>83162.545920000004</v>
      </c>
    </row>
    <row r="167" spans="1:20" x14ac:dyDescent="0.2">
      <c r="A167" s="30">
        <v>15</v>
      </c>
      <c r="B167" s="3" t="s">
        <v>464</v>
      </c>
      <c r="C167" s="3" t="s">
        <v>468</v>
      </c>
      <c r="D167" s="3" t="s">
        <v>469</v>
      </c>
      <c r="E167" s="3" t="s">
        <v>470</v>
      </c>
      <c r="F167" s="4">
        <v>43.85</v>
      </c>
      <c r="G167" s="1">
        <f>F167*K167*80</f>
        <v>3508</v>
      </c>
      <c r="H167" s="3" t="s">
        <v>618</v>
      </c>
      <c r="I167" s="3" t="s">
        <v>471</v>
      </c>
      <c r="J167" s="3" t="s">
        <v>472</v>
      </c>
      <c r="K167" s="5">
        <v>1</v>
      </c>
      <c r="L167" s="4">
        <v>91208</v>
      </c>
      <c r="M167" s="6"/>
      <c r="N167" s="63">
        <f t="shared" si="46"/>
        <v>1322.5160000000001</v>
      </c>
      <c r="O167" s="60">
        <f t="shared" si="53"/>
        <v>31439.3976</v>
      </c>
      <c r="P167" s="69" t="e">
        <f>MATCH(D167,'OGB Contributions'!A:A,0)</f>
        <v>#N/A</v>
      </c>
      <c r="Q167" s="58" t="e">
        <f>INDEX('OGB Contributions'!B:B,Sheet1!P167)</f>
        <v>#N/A</v>
      </c>
      <c r="R167" s="61">
        <f>786.54*12</f>
        <v>9438.48</v>
      </c>
      <c r="S167" s="3">
        <f>26.92*12</f>
        <v>323.04000000000002</v>
      </c>
      <c r="T167" s="58">
        <f>SUM(L167,M167,N167,O167,R167,S167)</f>
        <v>133731.43360000002</v>
      </c>
    </row>
    <row r="168" spans="1:20" x14ac:dyDescent="0.2">
      <c r="A168" s="30">
        <v>15</v>
      </c>
      <c r="B168" s="3" t="s">
        <v>464</v>
      </c>
      <c r="C168" s="40" t="s">
        <v>642</v>
      </c>
      <c r="D168" s="3" t="s">
        <v>473</v>
      </c>
      <c r="E168" s="3" t="s">
        <v>474</v>
      </c>
      <c r="F168" s="75">
        <v>54.45</v>
      </c>
      <c r="G168" s="1">
        <f>F168*K168*80</f>
        <v>4356</v>
      </c>
      <c r="H168" s="3" t="s">
        <v>618</v>
      </c>
      <c r="I168" s="40" t="s">
        <v>13</v>
      </c>
      <c r="J168" s="98">
        <v>50468982</v>
      </c>
      <c r="K168" s="5">
        <v>1</v>
      </c>
      <c r="L168" s="75">
        <f>F168*2080</f>
        <v>113256</v>
      </c>
      <c r="M168" s="6"/>
      <c r="N168" s="63">
        <f t="shared" si="46"/>
        <v>1642.212</v>
      </c>
      <c r="O168" s="60">
        <f t="shared" si="53"/>
        <v>39039.343200000003</v>
      </c>
      <c r="P168" s="69">
        <f>MATCH(D168,'OGB Contributions'!A:A,0)</f>
        <v>132</v>
      </c>
      <c r="Q168" s="58">
        <f>INDEX('OGB Contributions'!B:B,Sheet1!P168)</f>
        <v>675.84</v>
      </c>
      <c r="R168" s="61">
        <f>Q168*12</f>
        <v>8110.08</v>
      </c>
      <c r="S168" s="3">
        <f>50.84*12</f>
        <v>610.08000000000004</v>
      </c>
      <c r="T168" s="58">
        <f>SUM(L168,M168,N168,O168,R168,S168)</f>
        <v>162657.71519999998</v>
      </c>
    </row>
    <row r="169" spans="1:20" x14ac:dyDescent="0.2">
      <c r="A169" s="30">
        <v>15</v>
      </c>
      <c r="B169" s="3" t="s">
        <v>464</v>
      </c>
      <c r="C169" s="3" t="s">
        <v>475</v>
      </c>
      <c r="D169" s="40" t="s">
        <v>476</v>
      </c>
      <c r="E169" s="3" t="s">
        <v>477</v>
      </c>
      <c r="F169" s="4">
        <v>51.37</v>
      </c>
      <c r="G169" s="1">
        <f>F169*K169*80</f>
        <v>4109.5999999999995</v>
      </c>
      <c r="H169" s="3" t="s">
        <v>618</v>
      </c>
      <c r="I169" s="3" t="s">
        <v>70</v>
      </c>
      <c r="J169" s="3" t="s">
        <v>478</v>
      </c>
      <c r="K169" s="5">
        <v>1</v>
      </c>
      <c r="L169" s="4">
        <v>106849.60000000001</v>
      </c>
      <c r="M169" s="6"/>
      <c r="N169" s="63">
        <f t="shared" si="46"/>
        <v>1549.3192000000001</v>
      </c>
      <c r="O169" s="60">
        <f t="shared" si="53"/>
        <v>36831.057120000005</v>
      </c>
      <c r="P169" s="69">
        <f>MATCH(D169,'OGB Contributions'!A:A,0)</f>
        <v>140</v>
      </c>
      <c r="Q169" s="58">
        <f>INDEX('OGB Contributions'!B:B,Sheet1!P169)</f>
        <v>660.84</v>
      </c>
      <c r="R169" s="61">
        <f>Q169*12</f>
        <v>7930.08</v>
      </c>
      <c r="S169" s="3">
        <f>12*32.08</f>
        <v>384.96</v>
      </c>
      <c r="T169" s="58">
        <f>SUM(L169,M169,N169,O169,R169,S169)</f>
        <v>153545.01632</v>
      </c>
    </row>
    <row r="170" spans="1:20" s="80" customFormat="1" x14ac:dyDescent="0.2">
      <c r="A170" s="30">
        <v>15</v>
      </c>
      <c r="B170" s="80" t="s">
        <v>464</v>
      </c>
      <c r="C170" s="74" t="s">
        <v>849</v>
      </c>
      <c r="D170" s="95" t="s">
        <v>850</v>
      </c>
      <c r="E170" s="97">
        <v>361155</v>
      </c>
      <c r="F170" s="75">
        <f>G170/80</f>
        <v>27.080000000000002</v>
      </c>
      <c r="G170" s="81">
        <v>2166.4</v>
      </c>
      <c r="H170" s="74" t="s">
        <v>618</v>
      </c>
      <c r="I170" s="74" t="s">
        <v>43</v>
      </c>
      <c r="J170" s="100">
        <v>50668635</v>
      </c>
      <c r="K170" s="82">
        <v>1</v>
      </c>
      <c r="L170" s="75">
        <f>F170*2080</f>
        <v>56326.400000000001</v>
      </c>
      <c r="M170" s="83"/>
      <c r="N170" s="84">
        <f t="shared" si="46"/>
        <v>816.73280000000011</v>
      </c>
      <c r="O170" s="85">
        <f t="shared" si="53"/>
        <v>19415.710080000001</v>
      </c>
      <c r="P170" s="86" t="e">
        <f>MATCH(D170,'OGB Contributions'!A:A,0)</f>
        <v>#N/A</v>
      </c>
      <c r="Q170" s="87" t="e">
        <f>INDEX('OGB Contributions'!B:B,Sheet1!P170)</f>
        <v>#N/A</v>
      </c>
      <c r="R170" s="88"/>
      <c r="T170" s="87">
        <f>SUM(L170,M170,N170,O170,R170,S170)</f>
        <v>76558.842879999997</v>
      </c>
    </row>
    <row r="171" spans="1:20" s="22" customFormat="1" ht="13.5" thickBot="1" x14ac:dyDescent="0.25">
      <c r="D171" s="39" t="s">
        <v>625</v>
      </c>
      <c r="F171" s="23"/>
      <c r="G171" s="23"/>
      <c r="K171" s="24"/>
      <c r="L171" s="23">
        <f>SUM(L165:L169)*0.03</f>
        <v>12539.279999999999</v>
      </c>
      <c r="M171" s="25"/>
      <c r="N171" s="66"/>
      <c r="T171" s="66">
        <f>L171</f>
        <v>12539.279999999999</v>
      </c>
    </row>
    <row r="172" spans="1:20" s="14" customFormat="1" x14ac:dyDescent="0.2">
      <c r="A172" s="30">
        <v>0</v>
      </c>
      <c r="B172" s="14" t="s">
        <v>479</v>
      </c>
      <c r="C172" s="14" t="s">
        <v>480</v>
      </c>
      <c r="D172" s="14" t="s">
        <v>481</v>
      </c>
      <c r="E172" s="14" t="s">
        <v>482</v>
      </c>
      <c r="F172" s="15">
        <v>0</v>
      </c>
      <c r="G172" s="1">
        <f t="shared" ref="G172:G182" si="54">F172*K172*80</f>
        <v>0</v>
      </c>
      <c r="H172" s="14" t="s">
        <v>620</v>
      </c>
      <c r="I172" s="14" t="s">
        <v>237</v>
      </c>
      <c r="J172" s="14" t="s">
        <v>483</v>
      </c>
      <c r="K172" s="16">
        <v>0</v>
      </c>
      <c r="L172" s="15">
        <v>600</v>
      </c>
      <c r="M172" s="17"/>
      <c r="N172" s="84">
        <f t="shared" si="46"/>
        <v>8.7000000000000011</v>
      </c>
      <c r="O172" s="16">
        <f>0.062*L172</f>
        <v>37.200000000000003</v>
      </c>
      <c r="T172" s="58">
        <f t="shared" ref="T172:T182" si="55">SUM(L172,M172,N172,O172,R172,S172)</f>
        <v>645.90000000000009</v>
      </c>
    </row>
    <row r="173" spans="1:20" x14ac:dyDescent="0.2">
      <c r="A173" s="30">
        <v>0</v>
      </c>
      <c r="B173" s="3" t="s">
        <v>479</v>
      </c>
      <c r="C173" s="3" t="s">
        <v>480</v>
      </c>
      <c r="D173" s="3" t="s">
        <v>484</v>
      </c>
      <c r="E173" s="3" t="s">
        <v>485</v>
      </c>
      <c r="F173" s="4">
        <v>0</v>
      </c>
      <c r="G173" s="1">
        <f t="shared" si="54"/>
        <v>0</v>
      </c>
      <c r="H173" s="3" t="s">
        <v>620</v>
      </c>
      <c r="I173" s="3" t="s">
        <v>237</v>
      </c>
      <c r="J173" s="3" t="s">
        <v>486</v>
      </c>
      <c r="K173" s="5">
        <v>0</v>
      </c>
      <c r="L173" s="15">
        <v>600</v>
      </c>
      <c r="M173" s="6"/>
      <c r="N173" s="84">
        <f t="shared" si="46"/>
        <v>8.7000000000000011</v>
      </c>
      <c r="O173" s="16">
        <f t="shared" ref="O173:O182" si="56">0.062*L173</f>
        <v>37.200000000000003</v>
      </c>
      <c r="T173" s="58">
        <f t="shared" si="55"/>
        <v>645.90000000000009</v>
      </c>
    </row>
    <row r="174" spans="1:20" x14ac:dyDescent="0.2">
      <c r="A174" s="30">
        <v>0</v>
      </c>
      <c r="B174" s="3" t="s">
        <v>479</v>
      </c>
      <c r="C174" s="3" t="s">
        <v>480</v>
      </c>
      <c r="D174" s="3" t="s">
        <v>487</v>
      </c>
      <c r="E174" s="3" t="s">
        <v>488</v>
      </c>
      <c r="F174" s="4">
        <v>0</v>
      </c>
      <c r="G174" s="1">
        <f t="shared" si="54"/>
        <v>0</v>
      </c>
      <c r="H174" s="3" t="s">
        <v>620</v>
      </c>
      <c r="I174" s="3" t="s">
        <v>237</v>
      </c>
      <c r="J174" s="3" t="s">
        <v>489</v>
      </c>
      <c r="K174" s="5">
        <v>0</v>
      </c>
      <c r="L174" s="15">
        <v>600</v>
      </c>
      <c r="M174" s="6"/>
      <c r="N174" s="84">
        <f t="shared" si="46"/>
        <v>8.7000000000000011</v>
      </c>
      <c r="O174" s="16">
        <f t="shared" si="56"/>
        <v>37.200000000000003</v>
      </c>
      <c r="T174" s="58">
        <f t="shared" si="55"/>
        <v>645.90000000000009</v>
      </c>
    </row>
    <row r="175" spans="1:20" x14ac:dyDescent="0.2">
      <c r="A175" s="30">
        <v>0</v>
      </c>
      <c r="B175" s="3" t="s">
        <v>479</v>
      </c>
      <c r="C175" s="3" t="s">
        <v>480</v>
      </c>
      <c r="D175" s="3" t="s">
        <v>490</v>
      </c>
      <c r="E175" s="3" t="s">
        <v>491</v>
      </c>
      <c r="F175" s="4">
        <v>0</v>
      </c>
      <c r="G175" s="1">
        <f t="shared" si="54"/>
        <v>0</v>
      </c>
      <c r="H175" s="3" t="s">
        <v>620</v>
      </c>
      <c r="I175" s="3" t="s">
        <v>237</v>
      </c>
      <c r="J175" s="3" t="s">
        <v>492</v>
      </c>
      <c r="K175" s="5">
        <v>0</v>
      </c>
      <c r="L175" s="15">
        <v>600</v>
      </c>
      <c r="M175" s="6"/>
      <c r="N175" s="84">
        <f t="shared" si="46"/>
        <v>8.7000000000000011</v>
      </c>
      <c r="O175" s="16">
        <f t="shared" si="56"/>
        <v>37.200000000000003</v>
      </c>
      <c r="T175" s="58">
        <f t="shared" si="55"/>
        <v>645.90000000000009</v>
      </c>
    </row>
    <row r="176" spans="1:20" x14ac:dyDescent="0.2">
      <c r="A176" s="30">
        <v>0</v>
      </c>
      <c r="B176" s="3" t="s">
        <v>479</v>
      </c>
      <c r="C176" s="3" t="s">
        <v>480</v>
      </c>
      <c r="D176" s="3" t="s">
        <v>493</v>
      </c>
      <c r="E176" s="3" t="s">
        <v>494</v>
      </c>
      <c r="F176" s="4">
        <v>0</v>
      </c>
      <c r="G176" s="1">
        <f t="shared" si="54"/>
        <v>0</v>
      </c>
      <c r="H176" s="3" t="s">
        <v>620</v>
      </c>
      <c r="I176" s="3" t="s">
        <v>237</v>
      </c>
      <c r="J176" s="3" t="s">
        <v>495</v>
      </c>
      <c r="K176" s="5">
        <v>0</v>
      </c>
      <c r="L176" s="15">
        <v>600</v>
      </c>
      <c r="M176" s="6"/>
      <c r="N176" s="84">
        <f t="shared" si="46"/>
        <v>8.7000000000000011</v>
      </c>
      <c r="O176" s="16">
        <f t="shared" si="56"/>
        <v>37.200000000000003</v>
      </c>
      <c r="T176" s="58">
        <f t="shared" si="55"/>
        <v>645.90000000000009</v>
      </c>
    </row>
    <row r="177" spans="1:20" x14ac:dyDescent="0.2">
      <c r="A177" s="30">
        <v>0</v>
      </c>
      <c r="B177" s="3" t="s">
        <v>479</v>
      </c>
      <c r="C177" s="3" t="s">
        <v>480</v>
      </c>
      <c r="D177" s="3" t="s">
        <v>496</v>
      </c>
      <c r="E177" s="3" t="s">
        <v>497</v>
      </c>
      <c r="F177" s="4">
        <v>0</v>
      </c>
      <c r="G177" s="1">
        <f t="shared" si="54"/>
        <v>0</v>
      </c>
      <c r="H177" s="3" t="s">
        <v>620</v>
      </c>
      <c r="I177" s="3" t="s">
        <v>237</v>
      </c>
      <c r="J177" s="3" t="s">
        <v>498</v>
      </c>
      <c r="K177" s="5">
        <v>0</v>
      </c>
      <c r="L177" s="15">
        <v>600</v>
      </c>
      <c r="M177" s="6"/>
      <c r="N177" s="84">
        <f t="shared" si="46"/>
        <v>8.7000000000000011</v>
      </c>
      <c r="O177" s="16">
        <f t="shared" si="56"/>
        <v>37.200000000000003</v>
      </c>
      <c r="T177" s="58">
        <f t="shared" si="55"/>
        <v>645.90000000000009</v>
      </c>
    </row>
    <row r="178" spans="1:20" x14ac:dyDescent="0.2">
      <c r="A178" s="30">
        <v>0</v>
      </c>
      <c r="B178" s="3" t="s">
        <v>479</v>
      </c>
      <c r="C178" s="3" t="s">
        <v>480</v>
      </c>
      <c r="D178" s="3" t="s">
        <v>499</v>
      </c>
      <c r="E178" s="3" t="s">
        <v>500</v>
      </c>
      <c r="F178" s="4">
        <v>0</v>
      </c>
      <c r="G178" s="1">
        <f t="shared" si="54"/>
        <v>0</v>
      </c>
      <c r="H178" s="3" t="s">
        <v>620</v>
      </c>
      <c r="I178" s="3" t="s">
        <v>237</v>
      </c>
      <c r="J178" s="3" t="s">
        <v>501</v>
      </c>
      <c r="K178" s="5">
        <v>0</v>
      </c>
      <c r="L178" s="15">
        <v>600</v>
      </c>
      <c r="M178" s="6"/>
      <c r="N178" s="84">
        <f t="shared" si="46"/>
        <v>8.7000000000000011</v>
      </c>
      <c r="O178" s="16">
        <f t="shared" si="56"/>
        <v>37.200000000000003</v>
      </c>
      <c r="T178" s="58">
        <f t="shared" si="55"/>
        <v>645.90000000000009</v>
      </c>
    </row>
    <row r="179" spans="1:20" x14ac:dyDescent="0.2">
      <c r="A179" s="30">
        <v>0</v>
      </c>
      <c r="B179" s="3" t="s">
        <v>479</v>
      </c>
      <c r="C179" s="3" t="s">
        <v>480</v>
      </c>
      <c r="D179" s="3" t="s">
        <v>502</v>
      </c>
      <c r="E179" s="3" t="s">
        <v>503</v>
      </c>
      <c r="F179" s="4">
        <v>0</v>
      </c>
      <c r="G179" s="1">
        <f t="shared" si="54"/>
        <v>0</v>
      </c>
      <c r="H179" s="3" t="s">
        <v>620</v>
      </c>
      <c r="I179" s="3" t="s">
        <v>237</v>
      </c>
      <c r="J179" s="3" t="s">
        <v>504</v>
      </c>
      <c r="K179" s="5">
        <v>0</v>
      </c>
      <c r="L179" s="15">
        <v>600</v>
      </c>
      <c r="M179" s="6"/>
      <c r="N179" s="84">
        <f t="shared" si="46"/>
        <v>8.7000000000000011</v>
      </c>
      <c r="O179" s="16">
        <f t="shared" si="56"/>
        <v>37.200000000000003</v>
      </c>
      <c r="T179" s="58">
        <f t="shared" si="55"/>
        <v>645.90000000000009</v>
      </c>
    </row>
    <row r="180" spans="1:20" x14ac:dyDescent="0.2">
      <c r="A180" s="30">
        <v>0</v>
      </c>
      <c r="B180" s="3" t="s">
        <v>479</v>
      </c>
      <c r="C180" s="3" t="s">
        <v>480</v>
      </c>
      <c r="D180" s="3" t="s">
        <v>505</v>
      </c>
      <c r="E180" s="3" t="s">
        <v>506</v>
      </c>
      <c r="F180" s="4">
        <v>0</v>
      </c>
      <c r="G180" s="1">
        <f t="shared" si="54"/>
        <v>0</v>
      </c>
      <c r="H180" s="3" t="s">
        <v>620</v>
      </c>
      <c r="I180" s="3" t="s">
        <v>237</v>
      </c>
      <c r="J180" s="3" t="s">
        <v>507</v>
      </c>
      <c r="K180" s="5">
        <v>0</v>
      </c>
      <c r="L180" s="15">
        <v>600</v>
      </c>
      <c r="M180" s="6"/>
      <c r="N180" s="84">
        <f t="shared" si="46"/>
        <v>8.7000000000000011</v>
      </c>
      <c r="O180" s="16">
        <f t="shared" si="56"/>
        <v>37.200000000000003</v>
      </c>
      <c r="T180" s="58">
        <f t="shared" si="55"/>
        <v>645.90000000000009</v>
      </c>
    </row>
    <row r="181" spans="1:20" x14ac:dyDescent="0.2">
      <c r="A181" s="30">
        <v>0</v>
      </c>
      <c r="B181" s="3" t="s">
        <v>479</v>
      </c>
      <c r="C181" s="3" t="s">
        <v>480</v>
      </c>
      <c r="D181" s="3" t="s">
        <v>508</v>
      </c>
      <c r="E181" s="3" t="s">
        <v>509</v>
      </c>
      <c r="F181" s="4">
        <v>0</v>
      </c>
      <c r="G181" s="1">
        <f t="shared" si="54"/>
        <v>0</v>
      </c>
      <c r="H181" s="3" t="s">
        <v>620</v>
      </c>
      <c r="I181" s="3" t="s">
        <v>237</v>
      </c>
      <c r="J181" s="3" t="s">
        <v>510</v>
      </c>
      <c r="K181" s="5">
        <v>0</v>
      </c>
      <c r="L181" s="15">
        <v>600</v>
      </c>
      <c r="M181" s="6"/>
      <c r="N181" s="84">
        <f t="shared" si="46"/>
        <v>8.7000000000000011</v>
      </c>
      <c r="O181" s="16">
        <f t="shared" si="56"/>
        <v>37.200000000000003</v>
      </c>
      <c r="T181" s="58">
        <f t="shared" si="55"/>
        <v>645.90000000000009</v>
      </c>
    </row>
    <row r="182" spans="1:20" s="22" customFormat="1" ht="13.5" thickBot="1" x14ac:dyDescent="0.25">
      <c r="A182" s="53">
        <v>0</v>
      </c>
      <c r="B182" s="22" t="s">
        <v>479</v>
      </c>
      <c r="C182" s="22" t="s">
        <v>480</v>
      </c>
      <c r="D182" s="22" t="s">
        <v>511</v>
      </c>
      <c r="E182" s="22" t="s">
        <v>512</v>
      </c>
      <c r="F182" s="23">
        <v>0</v>
      </c>
      <c r="G182" s="35">
        <f t="shared" si="54"/>
        <v>0</v>
      </c>
      <c r="H182" s="22" t="s">
        <v>620</v>
      </c>
      <c r="I182" s="22" t="s">
        <v>237</v>
      </c>
      <c r="J182" s="22" t="s">
        <v>513</v>
      </c>
      <c r="K182" s="24">
        <v>0</v>
      </c>
      <c r="L182" s="23">
        <v>600</v>
      </c>
      <c r="M182" s="25"/>
      <c r="N182" s="104">
        <f t="shared" si="46"/>
        <v>8.7000000000000011</v>
      </c>
      <c r="O182" s="24">
        <f t="shared" si="56"/>
        <v>37.200000000000003</v>
      </c>
      <c r="T182" s="66">
        <f t="shared" si="55"/>
        <v>645.90000000000009</v>
      </c>
    </row>
    <row r="183" spans="1:20" s="14" customFormat="1" x14ac:dyDescent="0.2">
      <c r="A183" s="14">
        <v>166</v>
      </c>
      <c r="B183" s="14" t="s">
        <v>514</v>
      </c>
      <c r="C183" s="14" t="s">
        <v>259</v>
      </c>
      <c r="D183" s="55" t="s">
        <v>515</v>
      </c>
      <c r="E183" s="14" t="s">
        <v>516</v>
      </c>
      <c r="F183" s="15">
        <v>48.08</v>
      </c>
      <c r="G183" s="1">
        <f>F183*K183*80</f>
        <v>3846.3999999999996</v>
      </c>
      <c r="H183" s="14" t="s">
        <v>619</v>
      </c>
      <c r="I183" s="14" t="s">
        <v>237</v>
      </c>
      <c r="J183" s="14" t="s">
        <v>517</v>
      </c>
      <c r="K183" s="16">
        <v>1</v>
      </c>
      <c r="L183" s="15">
        <v>100000</v>
      </c>
      <c r="M183" s="17"/>
      <c r="N183" s="63">
        <f t="shared" si="46"/>
        <v>1450</v>
      </c>
      <c r="O183" s="63">
        <f>$O$2*L183</f>
        <v>34470</v>
      </c>
      <c r="P183" s="69">
        <f>MATCH(D183,'OGB Contributions'!A:A,0)</f>
        <v>136</v>
      </c>
      <c r="Q183" s="58">
        <f>INDEX('OGB Contributions'!B:B,Sheet1!P183)</f>
        <v>1203.3599999999999</v>
      </c>
      <c r="R183" s="61">
        <f>Q183*12</f>
        <v>14440.32</v>
      </c>
      <c r="S183" s="3">
        <f>12*109.16</f>
        <v>1309.92</v>
      </c>
      <c r="T183" s="58">
        <f>SUM(L183,M183,N183,O183,R183,S183)</f>
        <v>151670.24000000002</v>
      </c>
    </row>
    <row r="184" spans="1:20" x14ac:dyDescent="0.2">
      <c r="A184" s="3">
        <v>166</v>
      </c>
      <c r="B184" s="3" t="s">
        <v>514</v>
      </c>
      <c r="C184" s="3" t="s">
        <v>105</v>
      </c>
      <c r="D184" s="3" t="s">
        <v>518</v>
      </c>
      <c r="E184" s="3" t="s">
        <v>519</v>
      </c>
      <c r="F184" s="4">
        <v>25</v>
      </c>
      <c r="G184" s="1">
        <f>F184*K184*80</f>
        <v>0</v>
      </c>
      <c r="H184" s="3" t="s">
        <v>618</v>
      </c>
      <c r="I184" s="3" t="s">
        <v>8</v>
      </c>
      <c r="J184" s="3" t="s">
        <v>520</v>
      </c>
      <c r="K184" s="5">
        <v>0</v>
      </c>
      <c r="L184" s="4">
        <v>26000</v>
      </c>
      <c r="M184" s="6"/>
      <c r="N184" s="63">
        <f t="shared" si="46"/>
        <v>377</v>
      </c>
      <c r="O184" s="63">
        <f>$O$2*L184</f>
        <v>8962.2000000000007</v>
      </c>
      <c r="P184" s="69" t="e">
        <f>MATCH(D184,'OGB Contributions'!A:A,0)</f>
        <v>#N/A</v>
      </c>
      <c r="Q184" s="58" t="e">
        <f>INDEX('OGB Contributions'!B:B,Sheet1!P184)</f>
        <v>#N/A</v>
      </c>
      <c r="R184" s="61"/>
      <c r="T184" s="58">
        <f>SUM(L184,M184,N184,O184,R184,S184)</f>
        <v>35339.199999999997</v>
      </c>
    </row>
    <row r="185" spans="1:20" x14ac:dyDescent="0.2">
      <c r="A185" s="14">
        <v>166</v>
      </c>
      <c r="B185" s="40" t="s">
        <v>514</v>
      </c>
      <c r="C185" s="3" t="s">
        <v>75</v>
      </c>
      <c r="D185" s="3" t="s">
        <v>147</v>
      </c>
      <c r="E185" s="3" t="s">
        <v>148</v>
      </c>
      <c r="F185" s="4">
        <v>26</v>
      </c>
      <c r="G185" s="1">
        <f t="shared" ref="G185" si="57">F185*K185*80</f>
        <v>2080</v>
      </c>
      <c r="H185" s="3" t="s">
        <v>618</v>
      </c>
      <c r="I185" s="3" t="s">
        <v>3</v>
      </c>
      <c r="J185" s="3" t="s">
        <v>149</v>
      </c>
      <c r="K185" s="5">
        <v>1</v>
      </c>
      <c r="L185" s="4">
        <v>54080</v>
      </c>
      <c r="M185" s="6"/>
      <c r="N185" s="63">
        <f>N128*L185</f>
        <v>25061087.064000003</v>
      </c>
      <c r="O185" s="63">
        <f t="shared" ref="O185" si="58">$O$2*L185</f>
        <v>18641.376</v>
      </c>
      <c r="P185" s="69" t="e">
        <f>MATCH(D185,'OGB Contributions'!A:A,0)</f>
        <v>#N/A</v>
      </c>
      <c r="Q185" s="58" t="e">
        <f>INDEX('OGB Contributions'!B:B,Sheet1!P185)</f>
        <v>#N/A</v>
      </c>
      <c r="R185" s="61"/>
      <c r="T185" s="58">
        <f t="shared" ref="T185" si="59">SUM(L185,M185,N185,O185,R185,S185)</f>
        <v>25133808.440000001</v>
      </c>
    </row>
    <row r="186" spans="1:20" x14ac:dyDescent="0.2">
      <c r="A186" s="3">
        <v>166</v>
      </c>
      <c r="B186" s="3" t="s">
        <v>514</v>
      </c>
      <c r="C186" s="3" t="s">
        <v>570</v>
      </c>
      <c r="D186" s="3" t="s">
        <v>571</v>
      </c>
      <c r="E186" s="3" t="s">
        <v>572</v>
      </c>
      <c r="F186" s="4">
        <v>24.04</v>
      </c>
      <c r="G186" s="1">
        <f>F186*K186*80</f>
        <v>1923.1999999999998</v>
      </c>
      <c r="H186" s="3" t="s">
        <v>618</v>
      </c>
      <c r="I186" s="3" t="s">
        <v>50</v>
      </c>
      <c r="J186" s="3" t="s">
        <v>573</v>
      </c>
      <c r="K186" s="5">
        <v>1</v>
      </c>
      <c r="L186" s="4">
        <v>50000</v>
      </c>
      <c r="M186" s="6"/>
      <c r="N186" s="63">
        <f t="shared" si="46"/>
        <v>725</v>
      </c>
      <c r="O186" s="63">
        <f>$O$2*L186</f>
        <v>17235</v>
      </c>
      <c r="P186" s="69">
        <f>MATCH(D186,'OGB Contributions'!A:A,0)</f>
        <v>126</v>
      </c>
      <c r="Q186" s="58">
        <f>INDEX('OGB Contributions'!B:B,Sheet1!P186)</f>
        <v>251.8</v>
      </c>
      <c r="R186" s="61">
        <f>Q186*12</f>
        <v>3021.6000000000004</v>
      </c>
      <c r="S186" s="3">
        <f>12*32.08</f>
        <v>384.96</v>
      </c>
      <c r="T186" s="58">
        <f>SUM(L186,M186,N186,O186,R186,S186)</f>
        <v>71366.560000000012</v>
      </c>
    </row>
    <row r="187" spans="1:20" s="8" customFormat="1" x14ac:dyDescent="0.2">
      <c r="A187" s="8">
        <v>166</v>
      </c>
      <c r="B187" s="8" t="s">
        <v>514</v>
      </c>
      <c r="C187" s="8" t="s">
        <v>570</v>
      </c>
      <c r="D187" s="42" t="s">
        <v>622</v>
      </c>
      <c r="F187" s="10">
        <v>24.04</v>
      </c>
      <c r="G187" s="11">
        <f>F187*K187*80</f>
        <v>1923.1999999999998</v>
      </c>
      <c r="H187" s="8" t="s">
        <v>618</v>
      </c>
      <c r="I187" s="8" t="s">
        <v>50</v>
      </c>
      <c r="K187" s="12">
        <v>1</v>
      </c>
      <c r="L187" s="10">
        <v>50000</v>
      </c>
      <c r="M187" s="13"/>
      <c r="N187" s="64">
        <f t="shared" si="46"/>
        <v>725</v>
      </c>
      <c r="O187" s="64">
        <f>$O$2*L187</f>
        <v>17235</v>
      </c>
      <c r="P187" s="70" t="e">
        <f>MATCH(D187,'OGB Contributions'!A:A,0)</f>
        <v>#N/A</v>
      </c>
      <c r="Q187" s="67" t="e">
        <f>INDEX('OGB Contributions'!B:B,Sheet1!P187)</f>
        <v>#N/A</v>
      </c>
      <c r="R187" s="73"/>
      <c r="T187" s="67">
        <f>SUM(L187,M187,N187,O187,R187,S187)</f>
        <v>67960</v>
      </c>
    </row>
    <row r="188" spans="1:20" s="22" customFormat="1" ht="13.5" thickBot="1" x14ac:dyDescent="0.25">
      <c r="D188" s="39" t="s">
        <v>625</v>
      </c>
      <c r="F188" s="23"/>
      <c r="G188" s="23"/>
      <c r="K188" s="24"/>
      <c r="L188" s="23">
        <f>SUM(L186:L187)*0.03</f>
        <v>3000</v>
      </c>
      <c r="M188" s="25"/>
      <c r="O188" s="66"/>
      <c r="P188" s="66"/>
      <c r="Q188" s="66"/>
      <c r="T188" s="66">
        <f>L188</f>
        <v>3000</v>
      </c>
    </row>
    <row r="189" spans="1:20" s="14" customFormat="1" x14ac:dyDescent="0.2">
      <c r="A189" s="30">
        <v>35</v>
      </c>
      <c r="B189" s="14" t="s">
        <v>521</v>
      </c>
      <c r="C189" s="14" t="s">
        <v>522</v>
      </c>
      <c r="D189" s="14" t="s">
        <v>523</v>
      </c>
      <c r="E189" s="14" t="s">
        <v>524</v>
      </c>
      <c r="F189" s="15">
        <v>28.26</v>
      </c>
      <c r="G189" s="1">
        <f>F189*K189*80</f>
        <v>2260.8000000000002</v>
      </c>
      <c r="H189" s="14" t="s">
        <v>618</v>
      </c>
      <c r="I189" s="14" t="s">
        <v>3</v>
      </c>
      <c r="J189" s="14" t="s">
        <v>525</v>
      </c>
      <c r="K189" s="16">
        <v>1</v>
      </c>
      <c r="L189" s="15">
        <v>58780.800000000003</v>
      </c>
      <c r="M189" s="17"/>
      <c r="N189" s="63">
        <f t="shared" si="46"/>
        <v>852.3216000000001</v>
      </c>
      <c r="O189" s="63">
        <f>$O$2*L189</f>
        <v>20261.741760000001</v>
      </c>
      <c r="P189" s="69">
        <f>MATCH(D189,'OGB Contributions'!A:A,0)</f>
        <v>14</v>
      </c>
      <c r="Q189" s="58">
        <f>INDEX('OGB Contributions'!B:B,Sheet1!P189)</f>
        <v>684.72</v>
      </c>
      <c r="R189" s="61">
        <f>Q189*12</f>
        <v>8216.64</v>
      </c>
      <c r="T189" s="58">
        <f>SUM(L189,M189,N189,O189,R189,S189)</f>
        <v>88111.503360000002</v>
      </c>
    </row>
    <row r="190" spans="1:20" s="18" customFormat="1" x14ac:dyDescent="0.2">
      <c r="A190" s="36">
        <v>35</v>
      </c>
      <c r="B190" s="18" t="s">
        <v>521</v>
      </c>
      <c r="C190" s="18" t="s">
        <v>522</v>
      </c>
      <c r="D190" s="54" t="s">
        <v>622</v>
      </c>
      <c r="F190" s="19">
        <v>28.26</v>
      </c>
      <c r="G190" s="11">
        <f>F190*K190*80</f>
        <v>2260.8000000000002</v>
      </c>
      <c r="H190" s="18" t="s">
        <v>618</v>
      </c>
      <c r="I190" s="18" t="s">
        <v>3</v>
      </c>
      <c r="K190" s="20">
        <v>1</v>
      </c>
      <c r="L190" s="19">
        <v>58780.800000000003</v>
      </c>
      <c r="M190" s="21"/>
      <c r="N190" s="64">
        <f t="shared" si="46"/>
        <v>852.3216000000001</v>
      </c>
      <c r="O190" s="64">
        <f>$O$2*L190</f>
        <v>20261.741760000001</v>
      </c>
      <c r="P190" s="70" t="e">
        <f>MATCH(D190,'OGB Contributions'!A:A,0)</f>
        <v>#N/A</v>
      </c>
      <c r="Q190" s="67" t="e">
        <f>INDEX('OGB Contributions'!B:B,Sheet1!P190)</f>
        <v>#N/A</v>
      </c>
      <c r="R190" s="73"/>
      <c r="T190" s="67">
        <f>SUM(L190,M190,N190,O190,R190,S190)</f>
        <v>79894.863360000003</v>
      </c>
    </row>
    <row r="191" spans="1:20" s="22" customFormat="1" ht="13.5" thickBot="1" x14ac:dyDescent="0.25">
      <c r="D191" s="39" t="s">
        <v>625</v>
      </c>
      <c r="F191" s="23"/>
      <c r="G191" s="23"/>
      <c r="K191" s="24"/>
      <c r="L191" s="23">
        <f>SUM(L189:L190)*0.03</f>
        <v>3526.848</v>
      </c>
      <c r="M191" s="25"/>
      <c r="O191" s="66"/>
      <c r="P191" s="66"/>
      <c r="Q191" s="66"/>
      <c r="T191" s="66">
        <f>L191</f>
        <v>3526.848</v>
      </c>
    </row>
    <row r="192" spans="1:20" s="14" customFormat="1" x14ac:dyDescent="0.2">
      <c r="A192" s="14">
        <v>178</v>
      </c>
      <c r="B192" s="14" t="s">
        <v>526</v>
      </c>
      <c r="C192" s="14" t="s">
        <v>72</v>
      </c>
      <c r="D192" s="14" t="s">
        <v>527</v>
      </c>
      <c r="E192" s="14" t="s">
        <v>528</v>
      </c>
      <c r="F192" s="15">
        <v>33.25</v>
      </c>
      <c r="G192" s="1">
        <f t="shared" ref="G192:G204" si="60">F192*K192*80</f>
        <v>2660</v>
      </c>
      <c r="H192" s="14" t="s">
        <v>618</v>
      </c>
      <c r="I192" s="14" t="s">
        <v>43</v>
      </c>
      <c r="J192" s="14" t="s">
        <v>529</v>
      </c>
      <c r="K192" s="16">
        <v>1</v>
      </c>
      <c r="L192" s="15">
        <v>69160</v>
      </c>
      <c r="M192" s="17"/>
      <c r="N192" s="63">
        <f t="shared" si="46"/>
        <v>1002.82</v>
      </c>
      <c r="O192" s="63">
        <f t="shared" ref="O192:O197" si="61">$O$2*L192</f>
        <v>23839.452000000001</v>
      </c>
      <c r="P192" s="69">
        <f>MATCH(D192,'OGB Contributions'!A:A,0)</f>
        <v>23</v>
      </c>
      <c r="Q192" s="58">
        <f>INDEX('OGB Contributions'!B:B,Sheet1!P192)</f>
        <v>37</v>
      </c>
      <c r="R192" s="61">
        <f t="shared" ref="R192:R204" si="62">Q192*12</f>
        <v>444</v>
      </c>
      <c r="T192" s="58">
        <f t="shared" ref="T192:T217" si="63">SUM(L192,M192,N192,O192,R192,S192)</f>
        <v>94446.272000000012</v>
      </c>
    </row>
    <row r="193" spans="1:20" x14ac:dyDescent="0.2">
      <c r="A193" s="14">
        <v>178</v>
      </c>
      <c r="B193" s="3" t="s">
        <v>526</v>
      </c>
      <c r="C193" s="3" t="s">
        <v>105</v>
      </c>
      <c r="D193" s="3" t="s">
        <v>530</v>
      </c>
      <c r="E193" s="3" t="s">
        <v>531</v>
      </c>
      <c r="F193" s="4">
        <v>19.23</v>
      </c>
      <c r="G193" s="1">
        <f t="shared" si="60"/>
        <v>1538.4</v>
      </c>
      <c r="H193" s="3" t="s">
        <v>618</v>
      </c>
      <c r="I193" s="3" t="s">
        <v>8</v>
      </c>
      <c r="J193" s="3" t="s">
        <v>532</v>
      </c>
      <c r="K193" s="5">
        <v>1</v>
      </c>
      <c r="L193" s="4">
        <v>40000</v>
      </c>
      <c r="M193" s="68">
        <f>(F193*7%)*2080</f>
        <v>2799.8880000000004</v>
      </c>
      <c r="N193" s="63">
        <f t="shared" si="46"/>
        <v>580</v>
      </c>
      <c r="O193" s="63">
        <f t="shared" si="61"/>
        <v>13788</v>
      </c>
      <c r="P193" s="69">
        <f>MATCH(D193,'OGB Contributions'!A:A,0)</f>
        <v>30</v>
      </c>
      <c r="Q193" s="58">
        <f>INDEX('OGB Contributions'!B:B,Sheet1!P193)</f>
        <v>561.17999999999995</v>
      </c>
      <c r="R193" s="61">
        <f t="shared" si="62"/>
        <v>6734.16</v>
      </c>
      <c r="S193" s="3">
        <f>26.92*12</f>
        <v>323.04000000000002</v>
      </c>
      <c r="T193" s="58">
        <f t="shared" si="63"/>
        <v>64225.087999999996</v>
      </c>
    </row>
    <row r="194" spans="1:20" x14ac:dyDescent="0.2">
      <c r="A194" s="14">
        <v>178</v>
      </c>
      <c r="B194" s="3" t="s">
        <v>526</v>
      </c>
      <c r="C194" s="3" t="s">
        <v>130</v>
      </c>
      <c r="D194" s="3" t="s">
        <v>533</v>
      </c>
      <c r="E194" s="3" t="s">
        <v>534</v>
      </c>
      <c r="F194" s="4">
        <v>21.41</v>
      </c>
      <c r="G194" s="1">
        <f t="shared" si="60"/>
        <v>1712.8</v>
      </c>
      <c r="H194" s="3" t="s">
        <v>618</v>
      </c>
      <c r="I194" s="3" t="s">
        <v>50</v>
      </c>
      <c r="J194" s="3" t="s">
        <v>535</v>
      </c>
      <c r="K194" s="5">
        <v>1</v>
      </c>
      <c r="L194" s="4">
        <v>44532.800000000003</v>
      </c>
      <c r="M194" s="6"/>
      <c r="N194" s="63">
        <f t="shared" si="46"/>
        <v>645.7256000000001</v>
      </c>
      <c r="O194" s="63">
        <f t="shared" si="61"/>
        <v>15350.456160000002</v>
      </c>
      <c r="P194" s="69">
        <f>MATCH(D194,'OGB Contributions'!A:A,0)</f>
        <v>31</v>
      </c>
      <c r="Q194" s="58">
        <f>INDEX('OGB Contributions'!B:B,Sheet1!P194)</f>
        <v>749.54</v>
      </c>
      <c r="R194" s="61">
        <f t="shared" si="62"/>
        <v>8994.48</v>
      </c>
      <c r="S194" s="3">
        <f>12*74.94</f>
        <v>899.28</v>
      </c>
      <c r="T194" s="58">
        <f t="shared" si="63"/>
        <v>70422.741760000004</v>
      </c>
    </row>
    <row r="195" spans="1:20" x14ac:dyDescent="0.2">
      <c r="A195" s="14">
        <v>178</v>
      </c>
      <c r="B195" s="3" t="s">
        <v>526</v>
      </c>
      <c r="C195" s="3" t="s">
        <v>75</v>
      </c>
      <c r="D195" s="3" t="s">
        <v>536</v>
      </c>
      <c r="E195" s="3" t="s">
        <v>537</v>
      </c>
      <c r="F195" s="4">
        <v>25.28</v>
      </c>
      <c r="G195" s="1">
        <f t="shared" si="60"/>
        <v>2022.4</v>
      </c>
      <c r="H195" s="3" t="s">
        <v>618</v>
      </c>
      <c r="I195" s="3" t="s">
        <v>3</v>
      </c>
      <c r="J195" s="3" t="s">
        <v>538</v>
      </c>
      <c r="K195" s="5">
        <v>1</v>
      </c>
      <c r="L195" s="4">
        <v>52582.400000000001</v>
      </c>
      <c r="M195" s="6"/>
      <c r="N195" s="63">
        <f t="shared" si="46"/>
        <v>762.4448000000001</v>
      </c>
      <c r="O195" s="63">
        <f t="shared" si="61"/>
        <v>18125.153280000002</v>
      </c>
      <c r="P195" s="69" t="e">
        <f>MATCH(D195,'OGB Contributions'!A:A,0)</f>
        <v>#N/A</v>
      </c>
      <c r="Q195" s="58" t="e">
        <f>INDEX('OGB Contributions'!B:B,Sheet1!P195)</f>
        <v>#N/A</v>
      </c>
      <c r="R195" s="61">
        <f>653.84*12</f>
        <v>7846.08</v>
      </c>
      <c r="S195" s="3">
        <f>26.92*12</f>
        <v>323.04000000000002</v>
      </c>
      <c r="T195" s="58">
        <f t="shared" si="63"/>
        <v>79639.11808</v>
      </c>
    </row>
    <row r="196" spans="1:20" x14ac:dyDescent="0.2">
      <c r="A196" s="14">
        <v>178</v>
      </c>
      <c r="B196" s="3" t="s">
        <v>526</v>
      </c>
      <c r="C196" s="3" t="s">
        <v>118</v>
      </c>
      <c r="D196" s="3" t="s">
        <v>539</v>
      </c>
      <c r="E196" s="3" t="s">
        <v>540</v>
      </c>
      <c r="F196" s="4">
        <v>37.85</v>
      </c>
      <c r="G196" s="1">
        <f t="shared" si="60"/>
        <v>3028</v>
      </c>
      <c r="H196" s="3" t="s">
        <v>618</v>
      </c>
      <c r="I196" s="3" t="s">
        <v>22</v>
      </c>
      <c r="J196" s="3" t="s">
        <v>541</v>
      </c>
      <c r="K196" s="5">
        <v>1</v>
      </c>
      <c r="L196" s="4">
        <v>78728</v>
      </c>
      <c r="M196" s="6"/>
      <c r="N196" s="63">
        <f t="shared" si="46"/>
        <v>1141.556</v>
      </c>
      <c r="O196" s="63">
        <f t="shared" si="61"/>
        <v>27137.5416</v>
      </c>
      <c r="P196" s="69">
        <f>MATCH(D196,'OGB Contributions'!A:A,0)</f>
        <v>45</v>
      </c>
      <c r="Q196" s="58">
        <f>INDEX('OGB Contributions'!B:B,Sheet1!P196)</f>
        <v>771.54</v>
      </c>
      <c r="R196" s="61">
        <f t="shared" si="62"/>
        <v>9258.48</v>
      </c>
      <c r="S196" s="3">
        <f>12*74.94</f>
        <v>899.28</v>
      </c>
      <c r="T196" s="58">
        <f t="shared" si="63"/>
        <v>117164.85759999999</v>
      </c>
    </row>
    <row r="197" spans="1:20" x14ac:dyDescent="0.2">
      <c r="A197" s="14">
        <v>178</v>
      </c>
      <c r="B197" s="3" t="s">
        <v>526</v>
      </c>
      <c r="C197" s="3" t="s">
        <v>75</v>
      </c>
      <c r="D197" s="3" t="s">
        <v>542</v>
      </c>
      <c r="E197" s="3" t="s">
        <v>543</v>
      </c>
      <c r="F197" s="4">
        <v>24.96</v>
      </c>
      <c r="G197" s="1">
        <f t="shared" si="60"/>
        <v>1996.8000000000002</v>
      </c>
      <c r="H197" s="3" t="s">
        <v>618</v>
      </c>
      <c r="I197" s="3" t="s">
        <v>3</v>
      </c>
      <c r="J197" s="3" t="s">
        <v>544</v>
      </c>
      <c r="K197" s="5">
        <v>1</v>
      </c>
      <c r="L197" s="4">
        <v>51916.800000000003</v>
      </c>
      <c r="M197" s="6"/>
      <c r="N197" s="63">
        <f t="shared" si="46"/>
        <v>752.79360000000008</v>
      </c>
      <c r="O197" s="63">
        <f t="shared" si="61"/>
        <v>17895.720960000002</v>
      </c>
      <c r="P197" s="69">
        <f>MATCH(D197,'OGB Contributions'!A:A,0)</f>
        <v>51</v>
      </c>
      <c r="Q197" s="58">
        <f>INDEX('OGB Contributions'!B:B,Sheet1!P197)</f>
        <v>653.84</v>
      </c>
      <c r="R197" s="61">
        <f t="shared" si="62"/>
        <v>7846.08</v>
      </c>
      <c r="S197" s="3">
        <f>12*32.08</f>
        <v>384.96</v>
      </c>
      <c r="T197" s="58">
        <f t="shared" si="63"/>
        <v>78796.354560000007</v>
      </c>
    </row>
    <row r="198" spans="1:20" x14ac:dyDescent="0.2">
      <c r="A198" s="14">
        <v>178</v>
      </c>
      <c r="B198" s="3" t="s">
        <v>526</v>
      </c>
      <c r="C198" s="3" t="s">
        <v>75</v>
      </c>
      <c r="D198" s="3" t="s">
        <v>545</v>
      </c>
      <c r="E198" s="3" t="s">
        <v>546</v>
      </c>
      <c r="F198" s="4">
        <v>30.51</v>
      </c>
      <c r="G198" s="1">
        <f t="shared" si="60"/>
        <v>2440.8000000000002</v>
      </c>
      <c r="H198" s="3" t="s">
        <v>618</v>
      </c>
      <c r="I198" s="3" t="s">
        <v>3</v>
      </c>
      <c r="J198" s="3" t="s">
        <v>547</v>
      </c>
      <c r="K198" s="5">
        <v>1</v>
      </c>
      <c r="L198" s="4">
        <v>63460.800000000003</v>
      </c>
      <c r="M198" s="6"/>
      <c r="N198" s="63">
        <f t="shared" si="46"/>
        <v>920.18160000000012</v>
      </c>
      <c r="O198" s="63">
        <f t="shared" ref="O198:O217" si="64">$O$2*L198</f>
        <v>21874.937760000001</v>
      </c>
      <c r="P198" s="69">
        <f>MATCH(D198,'OGB Contributions'!A:A,0)</f>
        <v>59</v>
      </c>
      <c r="Q198" s="58">
        <f>INDEX('OGB Contributions'!B:B,Sheet1!P198)</f>
        <v>710.84</v>
      </c>
      <c r="R198" s="61">
        <f t="shared" si="62"/>
        <v>8530.08</v>
      </c>
      <c r="S198" s="3">
        <f>12*74.94</f>
        <v>899.28</v>
      </c>
      <c r="T198" s="58">
        <f t="shared" si="63"/>
        <v>95685.27936</v>
      </c>
    </row>
    <row r="199" spans="1:20" x14ac:dyDescent="0.2">
      <c r="A199" s="14">
        <v>178</v>
      </c>
      <c r="B199" s="3" t="s">
        <v>526</v>
      </c>
      <c r="C199" s="3" t="s">
        <v>75</v>
      </c>
      <c r="D199" s="3" t="s">
        <v>548</v>
      </c>
      <c r="E199" s="3" t="s">
        <v>549</v>
      </c>
      <c r="F199" s="4">
        <v>24.18</v>
      </c>
      <c r="G199" s="1">
        <f t="shared" si="60"/>
        <v>1934.4</v>
      </c>
      <c r="H199" s="3" t="s">
        <v>618</v>
      </c>
      <c r="I199" s="3" t="s">
        <v>3</v>
      </c>
      <c r="J199" s="3" t="s">
        <v>550</v>
      </c>
      <c r="K199" s="5">
        <v>1</v>
      </c>
      <c r="L199" s="4">
        <v>50294.400000000001</v>
      </c>
      <c r="M199" s="6"/>
      <c r="N199" s="63">
        <f t="shared" si="46"/>
        <v>729.26880000000006</v>
      </c>
      <c r="O199" s="63">
        <f t="shared" si="64"/>
        <v>17336.47968</v>
      </c>
      <c r="P199" s="69">
        <f>MATCH(D199,'OGB Contributions'!A:A,0)</f>
        <v>92</v>
      </c>
      <c r="Q199" s="58">
        <f>INDEX('OGB Contributions'!B:B,Sheet1!P199)</f>
        <v>15</v>
      </c>
      <c r="R199" s="61">
        <f t="shared" si="62"/>
        <v>180</v>
      </c>
      <c r="S199" s="3">
        <f>12*109.16</f>
        <v>1309.92</v>
      </c>
      <c r="T199" s="58">
        <f t="shared" si="63"/>
        <v>69850.068480000002</v>
      </c>
    </row>
    <row r="200" spans="1:20" x14ac:dyDescent="0.2">
      <c r="A200" s="14">
        <v>178</v>
      </c>
      <c r="B200" s="3" t="s">
        <v>526</v>
      </c>
      <c r="C200" s="3" t="s">
        <v>75</v>
      </c>
      <c r="D200" s="3" t="s">
        <v>551</v>
      </c>
      <c r="E200" s="3" t="s">
        <v>552</v>
      </c>
      <c r="F200" s="4">
        <v>24.54</v>
      </c>
      <c r="G200" s="1">
        <f t="shared" si="60"/>
        <v>1963.1999999999998</v>
      </c>
      <c r="H200" s="3" t="s">
        <v>618</v>
      </c>
      <c r="I200" s="3" t="s">
        <v>3</v>
      </c>
      <c r="J200" s="3" t="s">
        <v>553</v>
      </c>
      <c r="K200" s="5">
        <v>1</v>
      </c>
      <c r="L200" s="4">
        <v>51043.199999999997</v>
      </c>
      <c r="M200" s="6"/>
      <c r="N200" s="63">
        <f t="shared" si="46"/>
        <v>740.12639999999999</v>
      </c>
      <c r="O200" s="63">
        <f t="shared" si="64"/>
        <v>17594.591039999999</v>
      </c>
      <c r="P200" s="69">
        <f>MATCH(D200,'OGB Contributions'!A:A,0)</f>
        <v>105</v>
      </c>
      <c r="Q200" s="58">
        <f>INDEX('OGB Contributions'!B:B,Sheet1!P200)</f>
        <v>413.54</v>
      </c>
      <c r="R200" s="61">
        <f t="shared" si="62"/>
        <v>4962.4800000000005</v>
      </c>
      <c r="T200" s="58">
        <f t="shared" si="63"/>
        <v>74340.397439999986</v>
      </c>
    </row>
    <row r="201" spans="1:20" x14ac:dyDescent="0.2">
      <c r="A201" s="14">
        <v>178</v>
      </c>
      <c r="B201" s="3" t="s">
        <v>526</v>
      </c>
      <c r="C201" s="3" t="s">
        <v>67</v>
      </c>
      <c r="D201" s="3" t="s">
        <v>554</v>
      </c>
      <c r="E201" s="3" t="s">
        <v>555</v>
      </c>
      <c r="F201" s="4">
        <v>49.43</v>
      </c>
      <c r="G201" s="1">
        <f t="shared" si="60"/>
        <v>3954.4</v>
      </c>
      <c r="H201" s="3" t="s">
        <v>618</v>
      </c>
      <c r="I201" s="3" t="s">
        <v>70</v>
      </c>
      <c r="J201" s="3" t="s">
        <v>556</v>
      </c>
      <c r="K201" s="5">
        <v>1</v>
      </c>
      <c r="L201" s="4">
        <v>102814.39999999999</v>
      </c>
      <c r="M201" s="6"/>
      <c r="N201" s="63">
        <f t="shared" si="46"/>
        <v>1490.8088</v>
      </c>
      <c r="O201" s="63">
        <f t="shared" si="64"/>
        <v>35440.123679999997</v>
      </c>
      <c r="P201" s="69" t="e">
        <f>MATCH(D201,'OGB Contributions'!A:A,0)</f>
        <v>#N/A</v>
      </c>
      <c r="Q201" s="58" t="e">
        <f>INDEX('OGB Contributions'!B:B,Sheet1!P201)</f>
        <v>#N/A</v>
      </c>
      <c r="R201" s="61">
        <f>764.54*12</f>
        <v>9174.48</v>
      </c>
      <c r="S201" s="3">
        <f>58.54*12</f>
        <v>702.48</v>
      </c>
      <c r="T201" s="58">
        <f t="shared" si="63"/>
        <v>149622.29248</v>
      </c>
    </row>
    <row r="202" spans="1:20" x14ac:dyDescent="0.2">
      <c r="A202" s="14">
        <v>178</v>
      </c>
      <c r="B202" s="3" t="s">
        <v>526</v>
      </c>
      <c r="C202" s="3" t="s">
        <v>130</v>
      </c>
      <c r="D202" s="3" t="s">
        <v>557</v>
      </c>
      <c r="E202" s="3" t="s">
        <v>558</v>
      </c>
      <c r="F202" s="4">
        <v>20</v>
      </c>
      <c r="G202" s="1">
        <f t="shared" si="60"/>
        <v>1600</v>
      </c>
      <c r="H202" s="3" t="s">
        <v>618</v>
      </c>
      <c r="I202" s="3" t="s">
        <v>50</v>
      </c>
      <c r="J202" s="3" t="s">
        <v>559</v>
      </c>
      <c r="K202" s="5">
        <v>1</v>
      </c>
      <c r="L202" s="4">
        <v>41600</v>
      </c>
      <c r="M202" s="6"/>
      <c r="N202" s="63">
        <f t="shared" si="46"/>
        <v>603.20000000000005</v>
      </c>
      <c r="O202" s="63">
        <f>$O$2*L202</f>
        <v>14339.52</v>
      </c>
      <c r="P202" s="69">
        <f>MATCH(D202,'OGB Contributions'!A:A,0)</f>
        <v>133</v>
      </c>
      <c r="Q202" s="58">
        <f>INDEX('OGB Contributions'!B:B,Sheet1!P202)</f>
        <v>261.3</v>
      </c>
      <c r="R202" s="61">
        <f t="shared" si="62"/>
        <v>3135.6000000000004</v>
      </c>
      <c r="S202" s="40">
        <f>26.92*12</f>
        <v>323.04000000000002</v>
      </c>
      <c r="T202" s="58">
        <f t="shared" si="63"/>
        <v>60001.36</v>
      </c>
    </row>
    <row r="203" spans="1:20" x14ac:dyDescent="0.2">
      <c r="A203" s="14">
        <v>178</v>
      </c>
      <c r="B203" s="3" t="s">
        <v>526</v>
      </c>
      <c r="C203" s="3" t="s">
        <v>312</v>
      </c>
      <c r="D203" s="3" t="s">
        <v>560</v>
      </c>
      <c r="E203" s="3" t="s">
        <v>561</v>
      </c>
      <c r="F203" s="4">
        <v>21.66</v>
      </c>
      <c r="G203" s="1">
        <f t="shared" si="60"/>
        <v>1732.8</v>
      </c>
      <c r="H203" s="3" t="s">
        <v>618</v>
      </c>
      <c r="I203" s="3" t="s">
        <v>242</v>
      </c>
      <c r="J203" s="3" t="s">
        <v>562</v>
      </c>
      <c r="K203" s="5">
        <v>1</v>
      </c>
      <c r="L203" s="4">
        <v>45052.800000000003</v>
      </c>
      <c r="M203" s="6"/>
      <c r="N203" s="63">
        <f t="shared" si="46"/>
        <v>653.26560000000006</v>
      </c>
      <c r="O203" s="63">
        <f t="shared" si="64"/>
        <v>15529.700160000002</v>
      </c>
      <c r="P203" s="69">
        <f>MATCH(D203,'OGB Contributions'!A:A,0)</f>
        <v>142</v>
      </c>
      <c r="Q203" s="58">
        <f>INDEX('OGB Contributions'!B:B,Sheet1!P203)</f>
        <v>658.84</v>
      </c>
      <c r="R203" s="61">
        <f t="shared" si="62"/>
        <v>7906.08</v>
      </c>
      <c r="S203" s="3">
        <f>26.92*12</f>
        <v>323.04000000000002</v>
      </c>
      <c r="T203" s="58">
        <f t="shared" si="63"/>
        <v>69464.88575999999</v>
      </c>
    </row>
    <row r="204" spans="1:20" x14ac:dyDescent="0.2">
      <c r="A204" s="14">
        <v>178</v>
      </c>
      <c r="B204" s="3" t="s">
        <v>526</v>
      </c>
      <c r="C204" s="3" t="s">
        <v>563</v>
      </c>
      <c r="D204" s="3" t="s">
        <v>564</v>
      </c>
      <c r="E204" s="3" t="s">
        <v>565</v>
      </c>
      <c r="F204" s="4">
        <v>23.07</v>
      </c>
      <c r="G204" s="1">
        <f t="shared" si="60"/>
        <v>1845.6</v>
      </c>
      <c r="H204" s="3" t="s">
        <v>618</v>
      </c>
      <c r="I204" s="3" t="s">
        <v>8</v>
      </c>
      <c r="J204" s="3" t="s">
        <v>566</v>
      </c>
      <c r="K204" s="5">
        <v>1</v>
      </c>
      <c r="L204" s="4">
        <v>47985.599999999999</v>
      </c>
      <c r="M204" s="68">
        <f>(F204*7%)*2080</f>
        <v>3358.9920000000006</v>
      </c>
      <c r="N204" s="63">
        <f t="shared" si="46"/>
        <v>695.7912</v>
      </c>
      <c r="O204" s="63">
        <f t="shared" si="64"/>
        <v>16540.636320000001</v>
      </c>
      <c r="P204" s="69">
        <f>MATCH(D204,'OGB Contributions'!A:A,0)</f>
        <v>145</v>
      </c>
      <c r="Q204" s="58">
        <f>INDEX('OGB Contributions'!B:B,Sheet1!P204)</f>
        <v>554.17999999999995</v>
      </c>
      <c r="R204" s="61">
        <f t="shared" si="62"/>
        <v>6650.16</v>
      </c>
      <c r="S204" s="3">
        <f>26.92*12</f>
        <v>323.04000000000002</v>
      </c>
      <c r="T204" s="58">
        <f t="shared" si="63"/>
        <v>75554.219519999999</v>
      </c>
    </row>
    <row r="205" spans="1:20" s="91" customFormat="1" x14ac:dyDescent="0.2">
      <c r="A205" s="89">
        <v>178</v>
      </c>
      <c r="B205" s="80" t="s">
        <v>526</v>
      </c>
      <c r="C205" s="90" t="s">
        <v>143</v>
      </c>
      <c r="D205" s="90" t="s">
        <v>851</v>
      </c>
      <c r="F205" s="91">
        <v>17.309999999999999</v>
      </c>
      <c r="G205" s="92">
        <f>+F205*K205*80</f>
        <v>1384.8</v>
      </c>
      <c r="H205" s="90" t="s">
        <v>618</v>
      </c>
      <c r="I205" s="90" t="s">
        <v>128</v>
      </c>
      <c r="J205" s="132">
        <v>50666738</v>
      </c>
      <c r="K205" s="90">
        <v>1</v>
      </c>
      <c r="L205" s="92">
        <f>+G205*26</f>
        <v>36004.799999999996</v>
      </c>
      <c r="N205" s="84">
        <f t="shared" si="46"/>
        <v>522.06959999999992</v>
      </c>
      <c r="O205" s="84">
        <f t="shared" si="64"/>
        <v>12410.854559999998</v>
      </c>
      <c r="P205" s="86" t="e">
        <f>MATCH(D205,'OGB Contributions'!A:A,0)</f>
        <v>#N/A</v>
      </c>
      <c r="Q205" s="87" t="e">
        <f>INDEX('OGB Contributions'!B:B,Sheet1!P205)</f>
        <v>#N/A</v>
      </c>
      <c r="R205" s="88"/>
      <c r="T205" s="87">
        <f t="shared" si="63"/>
        <v>48937.724159999998</v>
      </c>
    </row>
    <row r="206" spans="1:20" s="22" customFormat="1" ht="13.5" thickBot="1" x14ac:dyDescent="0.25">
      <c r="D206" s="39" t="s">
        <v>625</v>
      </c>
      <c r="F206" s="23"/>
      <c r="G206" s="23"/>
      <c r="K206" s="24"/>
      <c r="L206" s="23">
        <f>SUM(L192:L204)*0.03</f>
        <v>22175.135999999999</v>
      </c>
      <c r="M206" s="25"/>
      <c r="T206" s="66">
        <f>L206</f>
        <v>22175.135999999999</v>
      </c>
    </row>
    <row r="207" spans="1:20" s="14" customFormat="1" x14ac:dyDescent="0.2">
      <c r="A207" s="14">
        <v>166</v>
      </c>
      <c r="B207" s="14" t="s">
        <v>567</v>
      </c>
      <c r="C207" s="14" t="s">
        <v>72</v>
      </c>
      <c r="D207" s="55" t="s">
        <v>827</v>
      </c>
      <c r="E207" s="14" t="s">
        <v>568</v>
      </c>
      <c r="F207" s="15">
        <v>40.590000000000003</v>
      </c>
      <c r="G207" s="1">
        <f>F207*K207*80</f>
        <v>3247.2000000000003</v>
      </c>
      <c r="H207" s="14" t="s">
        <v>618</v>
      </c>
      <c r="I207" s="14" t="s">
        <v>43</v>
      </c>
      <c r="J207" s="14" t="s">
        <v>569</v>
      </c>
      <c r="K207" s="16">
        <v>1</v>
      </c>
      <c r="L207" s="15">
        <v>84427.199999999997</v>
      </c>
      <c r="M207" s="17"/>
      <c r="N207" s="63">
        <f t="shared" si="46"/>
        <v>1224.1944000000001</v>
      </c>
      <c r="O207" s="63">
        <f t="shared" si="64"/>
        <v>29102.055840000001</v>
      </c>
      <c r="P207" s="69">
        <f>MATCH(D207,'OGB Contributions'!A:A,0)</f>
        <v>77</v>
      </c>
      <c r="Q207" s="58">
        <f>INDEX('OGB Contributions'!B:B,Sheet1!P207)</f>
        <v>691.34</v>
      </c>
      <c r="R207" s="61">
        <f>Q207*12</f>
        <v>8296.08</v>
      </c>
      <c r="S207" s="3">
        <f>12*64.62</f>
        <v>775.44</v>
      </c>
      <c r="T207" s="58">
        <f t="shared" si="63"/>
        <v>123824.97024</v>
      </c>
    </row>
    <row r="208" spans="1:20" s="22" customFormat="1" ht="13.5" thickBot="1" x14ac:dyDescent="0.25">
      <c r="D208" s="39" t="s">
        <v>625</v>
      </c>
      <c r="F208" s="23"/>
      <c r="G208" s="23"/>
      <c r="K208" s="24"/>
      <c r="L208" s="23">
        <f>L207*0.03</f>
        <v>2532.8159999999998</v>
      </c>
      <c r="M208" s="25"/>
      <c r="T208" s="66">
        <f>L208</f>
        <v>2532.8159999999998</v>
      </c>
    </row>
    <row r="209" spans="1:20" s="14" customFormat="1" x14ac:dyDescent="0.2">
      <c r="A209" s="14">
        <v>168</v>
      </c>
      <c r="B209" s="14" t="s">
        <v>574</v>
      </c>
      <c r="C209" s="14" t="s">
        <v>575</v>
      </c>
      <c r="D209" s="55" t="s">
        <v>576</v>
      </c>
      <c r="E209" s="14" t="s">
        <v>577</v>
      </c>
      <c r="F209" s="15">
        <v>55.95</v>
      </c>
      <c r="G209" s="1">
        <f t="shared" ref="G209:G217" si="65">F209*K209*80</f>
        <v>4476</v>
      </c>
      <c r="H209" s="14" t="s">
        <v>618</v>
      </c>
      <c r="I209" s="14" t="s">
        <v>578</v>
      </c>
      <c r="J209" s="14" t="s">
        <v>579</v>
      </c>
      <c r="K209" s="16">
        <v>1</v>
      </c>
      <c r="L209" s="15">
        <v>116376</v>
      </c>
      <c r="M209" s="17"/>
      <c r="N209" s="63">
        <f t="shared" si="46"/>
        <v>1687.452</v>
      </c>
      <c r="O209" s="63">
        <f t="shared" si="64"/>
        <v>40114.807200000003</v>
      </c>
      <c r="P209" s="69">
        <f>MATCH(D209,'OGB Contributions'!A:A,0)</f>
        <v>4</v>
      </c>
      <c r="Q209" s="58">
        <f>INDEX('OGB Contributions'!B:B,Sheet1!P209)</f>
        <v>37</v>
      </c>
      <c r="R209" s="61">
        <f t="shared" ref="R209:R217" si="66">Q209*12</f>
        <v>444</v>
      </c>
      <c r="S209" s="3"/>
      <c r="T209" s="58">
        <f t="shared" si="63"/>
        <v>158622.2592</v>
      </c>
    </row>
    <row r="210" spans="1:20" x14ac:dyDescent="0.2">
      <c r="A210" s="14">
        <v>168</v>
      </c>
      <c r="B210" s="3" t="s">
        <v>574</v>
      </c>
      <c r="C210" s="3" t="s">
        <v>334</v>
      </c>
      <c r="D210" s="3" t="s">
        <v>580</v>
      </c>
      <c r="E210" s="3" t="s">
        <v>581</v>
      </c>
      <c r="F210" s="4">
        <v>31.25</v>
      </c>
      <c r="G210" s="1">
        <f t="shared" si="65"/>
        <v>2500</v>
      </c>
      <c r="H210" s="3" t="s">
        <v>618</v>
      </c>
      <c r="I210" s="3" t="s">
        <v>582</v>
      </c>
      <c r="J210" s="3" t="s">
        <v>583</v>
      </c>
      <c r="K210" s="5">
        <v>1</v>
      </c>
      <c r="L210" s="4">
        <v>65000</v>
      </c>
      <c r="M210" s="6"/>
      <c r="N210" s="63">
        <f t="shared" si="46"/>
        <v>942.5</v>
      </c>
      <c r="O210" s="63">
        <f t="shared" si="64"/>
        <v>22405.5</v>
      </c>
      <c r="P210" s="69">
        <f>MATCH(D210,'OGB Contributions'!A:A,0)</f>
        <v>6</v>
      </c>
      <c r="Q210" s="58">
        <f>INDEX('OGB Contributions'!B:B,Sheet1!P210)</f>
        <v>409.24</v>
      </c>
      <c r="R210" s="61">
        <f t="shared" si="66"/>
        <v>4910.88</v>
      </c>
      <c r="S210" s="3">
        <f>26.92*12</f>
        <v>323.04000000000002</v>
      </c>
      <c r="T210" s="58">
        <f t="shared" si="63"/>
        <v>93581.92</v>
      </c>
    </row>
    <row r="211" spans="1:20" x14ac:dyDescent="0.2">
      <c r="A211" s="14">
        <v>168</v>
      </c>
      <c r="B211" s="3" t="s">
        <v>574</v>
      </c>
      <c r="C211" s="3" t="s">
        <v>584</v>
      </c>
      <c r="D211" s="3" t="s">
        <v>585</v>
      </c>
      <c r="E211" s="3" t="s">
        <v>586</v>
      </c>
      <c r="F211" s="4">
        <v>33.369999999999997</v>
      </c>
      <c r="G211" s="1">
        <f t="shared" si="65"/>
        <v>2669.6</v>
      </c>
      <c r="H211" s="3" t="s">
        <v>618</v>
      </c>
      <c r="I211" s="3" t="s">
        <v>337</v>
      </c>
      <c r="J211" s="3" t="s">
        <v>587</v>
      </c>
      <c r="K211" s="5">
        <v>1</v>
      </c>
      <c r="L211" s="4">
        <v>69409.600000000006</v>
      </c>
      <c r="M211" s="6"/>
      <c r="N211" s="63">
        <f t="shared" si="46"/>
        <v>1006.4392000000001</v>
      </c>
      <c r="O211" s="63">
        <f t="shared" si="64"/>
        <v>23925.489120000002</v>
      </c>
      <c r="P211" s="69">
        <f>MATCH(D211,'OGB Contributions'!A:A,0)</f>
        <v>10</v>
      </c>
      <c r="Q211" s="58">
        <f>INDEX('OGB Contributions'!B:B,Sheet1!P211)</f>
        <v>311.3</v>
      </c>
      <c r="R211" s="61">
        <f t="shared" si="66"/>
        <v>3735.6000000000004</v>
      </c>
      <c r="T211" s="58">
        <f t="shared" si="63"/>
        <v>98077.128320000003</v>
      </c>
    </row>
    <row r="212" spans="1:20" x14ac:dyDescent="0.2">
      <c r="A212" s="14">
        <v>168</v>
      </c>
      <c r="B212" s="3" t="s">
        <v>574</v>
      </c>
      <c r="C212" s="3" t="s">
        <v>588</v>
      </c>
      <c r="D212" s="3" t="s">
        <v>589</v>
      </c>
      <c r="E212" s="3" t="s">
        <v>590</v>
      </c>
      <c r="F212" s="4">
        <v>38.82</v>
      </c>
      <c r="G212" s="1">
        <f t="shared" si="65"/>
        <v>3105.6</v>
      </c>
      <c r="H212" s="3" t="s">
        <v>618</v>
      </c>
      <c r="I212" s="3" t="s">
        <v>591</v>
      </c>
      <c r="J212" s="3" t="s">
        <v>592</v>
      </c>
      <c r="K212" s="5">
        <v>1</v>
      </c>
      <c r="L212" s="4">
        <v>80745.600000000006</v>
      </c>
      <c r="M212" s="6"/>
      <c r="N212" s="63">
        <f t="shared" si="46"/>
        <v>1170.8112000000001</v>
      </c>
      <c r="O212" s="63">
        <f t="shared" si="64"/>
        <v>27833.008320000001</v>
      </c>
      <c r="P212" s="69">
        <f>MATCH(D212,'OGB Contributions'!A:A,0)</f>
        <v>22</v>
      </c>
      <c r="Q212" s="58">
        <f>INDEX('OGB Contributions'!B:B,Sheet1!P212)</f>
        <v>1209.3599999999999</v>
      </c>
      <c r="R212" s="61">
        <f t="shared" si="66"/>
        <v>14512.32</v>
      </c>
      <c r="S212" s="14">
        <f>109.16*12</f>
        <v>1309.92</v>
      </c>
      <c r="T212" s="58">
        <f t="shared" si="63"/>
        <v>125571.65952</v>
      </c>
    </row>
    <row r="213" spans="1:20" x14ac:dyDescent="0.2">
      <c r="A213" s="14">
        <v>168</v>
      </c>
      <c r="B213" s="3" t="s">
        <v>574</v>
      </c>
      <c r="C213" s="3" t="s">
        <v>588</v>
      </c>
      <c r="D213" s="3" t="s">
        <v>593</v>
      </c>
      <c r="E213" s="3" t="s">
        <v>594</v>
      </c>
      <c r="F213" s="4">
        <v>41</v>
      </c>
      <c r="G213" s="1">
        <f t="shared" si="65"/>
        <v>3280</v>
      </c>
      <c r="H213" s="3" t="s">
        <v>618</v>
      </c>
      <c r="I213" s="3" t="s">
        <v>591</v>
      </c>
      <c r="J213" s="3" t="s">
        <v>595</v>
      </c>
      <c r="K213" s="5">
        <v>1</v>
      </c>
      <c r="L213" s="4">
        <v>85280</v>
      </c>
      <c r="M213" s="6"/>
      <c r="N213" s="63">
        <f t="shared" si="46"/>
        <v>1236.5600000000002</v>
      </c>
      <c r="O213" s="63">
        <f t="shared" si="64"/>
        <v>29396.016</v>
      </c>
      <c r="P213" s="69">
        <f>MATCH(D213,'OGB Contributions'!A:A,0)</f>
        <v>70</v>
      </c>
      <c r="Q213" s="58">
        <f>INDEX('OGB Contributions'!B:B,Sheet1!P213)</f>
        <v>688.72</v>
      </c>
      <c r="R213" s="61">
        <f t="shared" si="66"/>
        <v>8264.64</v>
      </c>
      <c r="T213" s="58">
        <f t="shared" si="63"/>
        <v>124177.216</v>
      </c>
    </row>
    <row r="214" spans="1:20" x14ac:dyDescent="0.2">
      <c r="A214" s="14">
        <v>168</v>
      </c>
      <c r="B214" s="3" t="s">
        <v>574</v>
      </c>
      <c r="C214" s="3" t="s">
        <v>584</v>
      </c>
      <c r="D214" s="3" t="s">
        <v>596</v>
      </c>
      <c r="E214" s="3" t="s">
        <v>597</v>
      </c>
      <c r="F214" s="4">
        <v>29.24</v>
      </c>
      <c r="G214" s="1">
        <f t="shared" si="65"/>
        <v>2339.1999999999998</v>
      </c>
      <c r="H214" s="3" t="s">
        <v>618</v>
      </c>
      <c r="I214" s="3" t="s">
        <v>337</v>
      </c>
      <c r="J214" s="3" t="s">
        <v>598</v>
      </c>
      <c r="K214" s="5">
        <v>1</v>
      </c>
      <c r="L214" s="4">
        <v>60819.199999999997</v>
      </c>
      <c r="M214" s="6"/>
      <c r="N214" s="63">
        <f t="shared" si="46"/>
        <v>881.87840000000006</v>
      </c>
      <c r="O214" s="63">
        <f t="shared" si="64"/>
        <v>20964.378239999998</v>
      </c>
      <c r="P214" s="69">
        <f>MATCH(D214,'OGB Contributions'!A:A,0)</f>
        <v>72</v>
      </c>
      <c r="Q214" s="58">
        <f>INDEX('OGB Contributions'!B:B,Sheet1!P214)</f>
        <v>1216.3599999999999</v>
      </c>
      <c r="R214" s="61">
        <f t="shared" si="66"/>
        <v>14596.32</v>
      </c>
      <c r="S214" s="3">
        <f>12*109.16</f>
        <v>1309.92</v>
      </c>
      <c r="T214" s="58">
        <f t="shared" si="63"/>
        <v>98571.696639999995</v>
      </c>
    </row>
    <row r="215" spans="1:20" x14ac:dyDescent="0.2">
      <c r="A215" s="14">
        <v>168</v>
      </c>
      <c r="B215" s="3" t="s">
        <v>574</v>
      </c>
      <c r="C215" s="3" t="s">
        <v>599</v>
      </c>
      <c r="D215" s="3" t="s">
        <v>600</v>
      </c>
      <c r="E215" s="3" t="s">
        <v>601</v>
      </c>
      <c r="F215" s="4">
        <v>27.77</v>
      </c>
      <c r="G215" s="1">
        <f t="shared" si="65"/>
        <v>2221.6</v>
      </c>
      <c r="H215" s="3" t="s">
        <v>618</v>
      </c>
      <c r="I215" s="3" t="s">
        <v>337</v>
      </c>
      <c r="J215" s="3" t="s">
        <v>602</v>
      </c>
      <c r="K215" s="5">
        <v>1</v>
      </c>
      <c r="L215" s="4">
        <v>57761.599999999999</v>
      </c>
      <c r="M215" s="6"/>
      <c r="N215" s="63">
        <f>$N$2*L215</f>
        <v>837.54320000000007</v>
      </c>
      <c r="O215" s="63">
        <f t="shared" si="64"/>
        <v>19910.42352</v>
      </c>
      <c r="P215" s="69">
        <f>MATCH(D215,'OGB Contributions'!A:A,0)</f>
        <v>107</v>
      </c>
      <c r="Q215" s="58">
        <f>INDEX('OGB Contributions'!B:B,Sheet1!P215)</f>
        <v>658.84</v>
      </c>
      <c r="R215" s="61">
        <f t="shared" si="66"/>
        <v>7906.08</v>
      </c>
      <c r="T215" s="58">
        <f t="shared" si="63"/>
        <v>86415.646720000004</v>
      </c>
    </row>
    <row r="216" spans="1:20" x14ac:dyDescent="0.2">
      <c r="A216" s="14">
        <v>168</v>
      </c>
      <c r="B216" s="3" t="s">
        <v>574</v>
      </c>
      <c r="C216" s="3" t="s">
        <v>584</v>
      </c>
      <c r="D216" s="3" t="s">
        <v>603</v>
      </c>
      <c r="E216" s="3" t="s">
        <v>604</v>
      </c>
      <c r="F216" s="4">
        <v>35.04</v>
      </c>
      <c r="G216" s="1">
        <f t="shared" si="65"/>
        <v>2803.2</v>
      </c>
      <c r="H216" s="3" t="s">
        <v>618</v>
      </c>
      <c r="I216" s="3" t="s">
        <v>337</v>
      </c>
      <c r="J216" s="3" t="s">
        <v>605</v>
      </c>
      <c r="K216" s="5">
        <v>1</v>
      </c>
      <c r="L216" s="4">
        <v>72883.199999999997</v>
      </c>
      <c r="M216" s="6"/>
      <c r="N216" s="63">
        <f>$N$2*L216</f>
        <v>1056.8063999999999</v>
      </c>
      <c r="O216" s="63">
        <f t="shared" si="64"/>
        <v>25122.839039999999</v>
      </c>
      <c r="P216" s="69">
        <f>MATCH(D216,'OGB Contributions'!A:A,0)</f>
        <v>121</v>
      </c>
      <c r="Q216" s="58">
        <f>INDEX('OGB Contributions'!B:B,Sheet1!P216)</f>
        <v>710.84</v>
      </c>
      <c r="R216" s="61">
        <f t="shared" si="66"/>
        <v>8530.08</v>
      </c>
      <c r="S216" s="3">
        <f>26.92*12</f>
        <v>323.04000000000002</v>
      </c>
      <c r="T216" s="58">
        <f t="shared" si="63"/>
        <v>107915.96544</v>
      </c>
    </row>
    <row r="217" spans="1:20" x14ac:dyDescent="0.2">
      <c r="A217" s="14">
        <v>168</v>
      </c>
      <c r="B217" s="3" t="s">
        <v>574</v>
      </c>
      <c r="C217" s="3" t="s">
        <v>599</v>
      </c>
      <c r="D217" s="40" t="s">
        <v>846</v>
      </c>
      <c r="E217" s="3" t="s">
        <v>606</v>
      </c>
      <c r="F217" s="4">
        <v>33.53</v>
      </c>
      <c r="G217" s="1">
        <f t="shared" si="65"/>
        <v>2682.4</v>
      </c>
      <c r="H217" s="3" t="s">
        <v>618</v>
      </c>
      <c r="I217" s="3" t="s">
        <v>337</v>
      </c>
      <c r="J217" s="3" t="s">
        <v>607</v>
      </c>
      <c r="K217" s="5">
        <v>1</v>
      </c>
      <c r="L217" s="4">
        <v>69742.399999999994</v>
      </c>
      <c r="M217" s="6"/>
      <c r="N217" s="63">
        <f>$N$2*L217</f>
        <v>1011.2647999999999</v>
      </c>
      <c r="O217" s="63">
        <f t="shared" si="64"/>
        <v>24040.205279999998</v>
      </c>
      <c r="P217" s="69">
        <f>MATCH(D217,'OGB Contributions'!A:A,0)</f>
        <v>138</v>
      </c>
      <c r="Q217" s="58">
        <f>INDEX('OGB Contributions'!B:B,Sheet1!P217)</f>
        <v>781.64</v>
      </c>
      <c r="R217" s="61">
        <f t="shared" si="66"/>
        <v>9379.68</v>
      </c>
      <c r="S217" s="3">
        <f>12*64.62</f>
        <v>775.44</v>
      </c>
      <c r="T217" s="58">
        <f t="shared" si="63"/>
        <v>104948.99007999999</v>
      </c>
    </row>
    <row r="218" spans="1:20" s="22" customFormat="1" ht="13.5" thickBot="1" x14ac:dyDescent="0.25">
      <c r="D218" s="39" t="s">
        <v>625</v>
      </c>
      <c r="L218" s="56">
        <f>SUM(L209:L217)*0.03</f>
        <v>20340.527999999998</v>
      </c>
      <c r="T218" s="66">
        <f>L218</f>
        <v>20340.527999999998</v>
      </c>
    </row>
    <row r="221" spans="1:20" ht="13.5" thickBot="1" x14ac:dyDescent="0.25">
      <c r="K221" s="121">
        <f>SUM(K4:K217)</f>
        <v>170</v>
      </c>
      <c r="L221" s="122">
        <f>SUM(L4:L218)</f>
        <v>12410523.026099999</v>
      </c>
      <c r="M221" s="122">
        <f>SUM(M4:M218)</f>
        <v>87394.216</v>
      </c>
      <c r="N221" s="122">
        <f>SUM(N4:N218)</f>
        <v>25235292.939640019</v>
      </c>
      <c r="O221" s="122">
        <f>SUM(O4:O218)</f>
        <v>4131183.1169040012</v>
      </c>
      <c r="P221" s="123"/>
      <c r="Q221" s="123"/>
      <c r="R221" s="122">
        <f>SUM(R4:R218)</f>
        <v>1118212.5599999984</v>
      </c>
      <c r="S221" s="122">
        <f>SUM(S4:S218)</f>
        <v>69421.08</v>
      </c>
      <c r="T221" s="122">
        <f>SUM(T4:T218)</f>
        <v>43052026.938644007</v>
      </c>
    </row>
    <row r="222" spans="1:20" ht="13.5" thickTop="1" x14ac:dyDescent="0.2">
      <c r="I222" s="144" t="s">
        <v>644</v>
      </c>
      <c r="J222" s="144"/>
      <c r="K222" s="115"/>
      <c r="L222" s="124">
        <f>K221</f>
        <v>170</v>
      </c>
    </row>
    <row r="223" spans="1:20" x14ac:dyDescent="0.2">
      <c r="I223" s="144" t="s">
        <v>643</v>
      </c>
      <c r="J223" s="144"/>
      <c r="K223" s="115"/>
      <c r="L223" s="116">
        <f>SUM(L221,M221)</f>
        <v>12497917.242099999</v>
      </c>
    </row>
    <row r="224" spans="1:20" x14ac:dyDescent="0.2">
      <c r="I224" s="144" t="s">
        <v>645</v>
      </c>
      <c r="J224" s="144"/>
      <c r="K224" s="115"/>
      <c r="L224" s="116">
        <f>O221</f>
        <v>4131183.1169040012</v>
      </c>
    </row>
    <row r="225" spans="2:12" x14ac:dyDescent="0.2">
      <c r="I225" s="144" t="s">
        <v>646</v>
      </c>
      <c r="J225" s="144"/>
      <c r="K225" s="115"/>
      <c r="L225" s="116">
        <f>SUM(N221)</f>
        <v>25235292.939640019</v>
      </c>
    </row>
    <row r="226" spans="2:12" ht="13.5" thickBot="1" x14ac:dyDescent="0.25">
      <c r="I226" s="115" t="s">
        <v>647</v>
      </c>
      <c r="J226" s="115"/>
      <c r="K226" s="115"/>
      <c r="L226" s="125">
        <f>SUM(R221:S221)</f>
        <v>1187633.6399999985</v>
      </c>
    </row>
    <row r="227" spans="2:12" x14ac:dyDescent="0.2">
      <c r="I227" s="144" t="s">
        <v>648</v>
      </c>
      <c r="J227" s="144"/>
      <c r="K227" s="115"/>
      <c r="L227" s="116">
        <f>SUM(L223:L226)</f>
        <v>43052026.938644022</v>
      </c>
    </row>
    <row r="235" spans="2:12" ht="18.75" thickBot="1" x14ac:dyDescent="0.25">
      <c r="B235" s="126" t="s">
        <v>654</v>
      </c>
    </row>
    <row r="236" spans="2:12" ht="18.75" thickBot="1" x14ac:dyDescent="0.25">
      <c r="B236" s="117" t="s">
        <v>655</v>
      </c>
      <c r="C236" s="118"/>
    </row>
    <row r="237" spans="2:12" x14ac:dyDescent="0.2">
      <c r="C237" s="41" t="s">
        <v>656</v>
      </c>
      <c r="D237" s="40" t="s">
        <v>657</v>
      </c>
    </row>
    <row r="238" spans="2:12" x14ac:dyDescent="0.2">
      <c r="B238" s="40" t="s">
        <v>0</v>
      </c>
      <c r="C238" s="99">
        <f>SUM(K4:K17)</f>
        <v>14</v>
      </c>
      <c r="D238" s="61">
        <f>SUM(T4:T19)</f>
        <v>1565503.4191999997</v>
      </c>
    </row>
    <row r="239" spans="2:12" x14ac:dyDescent="0.2">
      <c r="B239" s="40" t="s">
        <v>55</v>
      </c>
      <c r="C239" s="99">
        <f>SUM(K20:K24)</f>
        <v>4</v>
      </c>
      <c r="D239" s="58">
        <f>SUM(T20:T25)</f>
        <v>555780.82944</v>
      </c>
    </row>
    <row r="240" spans="2:12" x14ac:dyDescent="0.2">
      <c r="B240" s="40" t="s">
        <v>658</v>
      </c>
      <c r="C240" s="99">
        <f>SUM(K30:K48)</f>
        <v>19</v>
      </c>
      <c r="D240" s="61">
        <f>SUM(T26:T29)</f>
        <v>364827.17888000002</v>
      </c>
    </row>
    <row r="241" spans="2:4" x14ac:dyDescent="0.2">
      <c r="B241" s="40" t="s">
        <v>632</v>
      </c>
      <c r="C241" s="99">
        <f>SUM(K51:K55)</f>
        <v>5</v>
      </c>
      <c r="D241" s="61">
        <f>SUM(T30:T50)</f>
        <v>1756854.9500800001</v>
      </c>
    </row>
    <row r="242" spans="2:4" x14ac:dyDescent="0.2">
      <c r="B242" s="40" t="s">
        <v>663</v>
      </c>
      <c r="C242" s="99">
        <f>SUM(K57:K62)</f>
        <v>6</v>
      </c>
      <c r="D242" s="61">
        <f>SUM(T57:T63)</f>
        <v>555890.03647999989</v>
      </c>
    </row>
    <row r="243" spans="2:4" x14ac:dyDescent="0.2">
      <c r="B243" s="40" t="s">
        <v>161</v>
      </c>
      <c r="C243" s="99">
        <f>SUM(K64:K76)</f>
        <v>12</v>
      </c>
      <c r="D243" s="61">
        <f>SUM(T64:T77)</f>
        <v>1193816.2065600003</v>
      </c>
    </row>
    <row r="244" spans="2:4" x14ac:dyDescent="0.2">
      <c r="B244" s="40" t="s">
        <v>659</v>
      </c>
      <c r="C244" s="99">
        <f>SUM(K78:K83)</f>
        <v>6</v>
      </c>
      <c r="D244" s="61">
        <f>SUM(T78:T85)</f>
        <v>632760.52145999996</v>
      </c>
    </row>
    <row r="245" spans="2:4" x14ac:dyDescent="0.2">
      <c r="B245" s="40" t="s">
        <v>233</v>
      </c>
      <c r="C245" s="99">
        <f>SUM(K86:K94)</f>
        <v>9</v>
      </c>
      <c r="D245" s="61">
        <f>SUM(T86:T95)</f>
        <v>1635294.050264</v>
      </c>
    </row>
    <row r="246" spans="2:4" x14ac:dyDescent="0.2">
      <c r="B246" s="40" t="s">
        <v>662</v>
      </c>
      <c r="C246" s="99">
        <f>SUM(K96:K101)</f>
        <v>6</v>
      </c>
      <c r="D246" s="61">
        <f>SUM(T96:T102)</f>
        <v>453315.94688000006</v>
      </c>
    </row>
    <row r="247" spans="2:4" x14ac:dyDescent="0.2">
      <c r="B247" s="40" t="s">
        <v>661</v>
      </c>
      <c r="C247" s="99">
        <f>SUM(K108:K129)</f>
        <v>18</v>
      </c>
      <c r="D247" s="61">
        <f>SUM(T108:T130)</f>
        <v>1864604.3957199999</v>
      </c>
    </row>
    <row r="248" spans="2:4" x14ac:dyDescent="0.2">
      <c r="B248" s="40" t="s">
        <v>363</v>
      </c>
      <c r="C248" s="99">
        <f>SUM(K131:K142)</f>
        <v>12</v>
      </c>
      <c r="D248" s="61">
        <f>SUM(T131:T143)</f>
        <v>1072113.6633599999</v>
      </c>
    </row>
    <row r="249" spans="2:4" x14ac:dyDescent="0.2">
      <c r="B249" s="40" t="s">
        <v>402</v>
      </c>
      <c r="C249" s="99">
        <f>SUM(K144:K149,K26:K28,K103:K106)</f>
        <v>13</v>
      </c>
      <c r="D249" s="61">
        <f>SUM(T26:T29,T103:T107,T144:T150)</f>
        <v>1311586.2691200001</v>
      </c>
    </row>
    <row r="250" spans="2:4" x14ac:dyDescent="0.2">
      <c r="B250" s="40" t="s">
        <v>422</v>
      </c>
      <c r="C250" s="99">
        <f>SUM(K151:K156)</f>
        <v>4</v>
      </c>
      <c r="D250" s="61">
        <f>SUM(T151:T157)</f>
        <v>526155.02272000001</v>
      </c>
    </row>
    <row r="251" spans="2:4" x14ac:dyDescent="0.2">
      <c r="B251" s="40" t="s">
        <v>441</v>
      </c>
      <c r="C251" s="99">
        <f>SUM(K158:K163)</f>
        <v>6</v>
      </c>
      <c r="D251" s="61">
        <f>SUM(T158:T164)</f>
        <v>784728.60224000004</v>
      </c>
    </row>
    <row r="252" spans="2:4" x14ac:dyDescent="0.2">
      <c r="B252" s="40" t="s">
        <v>660</v>
      </c>
      <c r="C252" s="99">
        <f>SUM(K165:K170)</f>
        <v>6</v>
      </c>
      <c r="D252" s="61">
        <f>SUM(T165:T171)</f>
        <v>703020.86207999999</v>
      </c>
    </row>
    <row r="253" spans="2:4" x14ac:dyDescent="0.2">
      <c r="B253" s="40" t="s">
        <v>854</v>
      </c>
      <c r="C253" s="99">
        <f>SUM(K192:K205)</f>
        <v>14</v>
      </c>
      <c r="D253" s="61">
        <f>SUM(T192:T206)</f>
        <v>1170325.7951999998</v>
      </c>
    </row>
    <row r="254" spans="2:4" x14ac:dyDescent="0.2">
      <c r="B254" s="40" t="s">
        <v>479</v>
      </c>
      <c r="C254" s="99">
        <f>SUM(K172:K182)</f>
        <v>0</v>
      </c>
      <c r="D254" s="61">
        <f>SUM(T172:T182)</f>
        <v>7104.9</v>
      </c>
    </row>
    <row r="255" spans="2:4" x14ac:dyDescent="0.2">
      <c r="B255" s="40" t="s">
        <v>514</v>
      </c>
      <c r="C255" s="99">
        <f>SUM(K183:K187)</f>
        <v>4</v>
      </c>
      <c r="D255" s="61">
        <f>SUM(T183:T188)</f>
        <v>25463144.440000001</v>
      </c>
    </row>
    <row r="256" spans="2:4" x14ac:dyDescent="0.2">
      <c r="B256" s="40" t="s">
        <v>521</v>
      </c>
      <c r="C256" s="99">
        <f>SUM(K189:K190)</f>
        <v>2</v>
      </c>
      <c r="D256" s="61">
        <f>SUM(T189:T191)</f>
        <v>171533.21471999999</v>
      </c>
    </row>
    <row r="257" spans="2:4" x14ac:dyDescent="0.2">
      <c r="B257" s="40" t="s">
        <v>567</v>
      </c>
      <c r="C257" s="99">
        <f>SUM(K207)</f>
        <v>1</v>
      </c>
      <c r="D257" s="61">
        <f>SUM(T207:T208)</f>
        <v>126357.78624</v>
      </c>
    </row>
    <row r="258" spans="2:4" x14ac:dyDescent="0.2">
      <c r="B258" s="40" t="s">
        <v>574</v>
      </c>
      <c r="C258" s="99">
        <f>SUM(K209:K217)</f>
        <v>9</v>
      </c>
      <c r="D258" s="61">
        <f>SUM(T209:T218)</f>
        <v>1018223.0099200001</v>
      </c>
    </row>
    <row r="260" spans="2:4" x14ac:dyDescent="0.2">
      <c r="C260" s="99">
        <f>SUM(C238:C258)</f>
        <v>170</v>
      </c>
      <c r="D260" s="141">
        <f>SUM(D238:D258)</f>
        <v>42932941.100564003</v>
      </c>
    </row>
  </sheetData>
  <sortState ref="B247:B268">
    <sortCondition ref="B247"/>
  </sortState>
  <mergeCells count="5">
    <mergeCell ref="I222:J222"/>
    <mergeCell ref="I223:J223"/>
    <mergeCell ref="I224:J224"/>
    <mergeCell ref="I225:J225"/>
    <mergeCell ref="I227:J227"/>
  </mergeCells>
  <phoneticPr fontId="0" type="noConversion"/>
  <pageMargins left="0.75" right="0.75" top="1" bottom="1" header="0.5" footer="0.5"/>
  <pageSetup paperSize="5" scale="9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2"/>
  <sheetViews>
    <sheetView workbookViewId="0">
      <selection activeCell="A146" sqref="A146"/>
    </sheetView>
  </sheetViews>
  <sheetFormatPr defaultColWidth="8.5703125" defaultRowHeight="12.75" x14ac:dyDescent="0.2"/>
  <cols>
    <col min="1" max="1" width="4.140625" style="71" customWidth="1"/>
    <col min="2" max="16384" width="8.5703125" style="32"/>
  </cols>
  <sheetData>
    <row r="1" spans="1:3" x14ac:dyDescent="0.2">
      <c r="A1" s="71" t="s">
        <v>664</v>
      </c>
      <c r="B1" s="32" t="s">
        <v>665</v>
      </c>
      <c r="C1" s="32" t="s">
        <v>666</v>
      </c>
    </row>
    <row r="2" spans="1:3" x14ac:dyDescent="0.2">
      <c r="A2" s="14" t="s">
        <v>423</v>
      </c>
      <c r="B2" s="32">
        <v>816.54</v>
      </c>
      <c r="C2" s="32" t="s">
        <v>667</v>
      </c>
    </row>
    <row r="3" spans="1:3" x14ac:dyDescent="0.2">
      <c r="A3" s="14" t="s">
        <v>365</v>
      </c>
      <c r="B3" s="32">
        <v>653.84</v>
      </c>
      <c r="C3" s="32" t="s">
        <v>668</v>
      </c>
    </row>
    <row r="4" spans="1:3" x14ac:dyDescent="0.2">
      <c r="A4" s="55" t="s">
        <v>576</v>
      </c>
      <c r="B4" s="32">
        <v>37</v>
      </c>
      <c r="C4" s="32" t="s">
        <v>669</v>
      </c>
    </row>
    <row r="5" spans="1:3" x14ac:dyDescent="0.2">
      <c r="A5" s="3" t="s">
        <v>368</v>
      </c>
      <c r="B5" s="32">
        <v>653.84</v>
      </c>
      <c r="C5" s="32" t="s">
        <v>670</v>
      </c>
    </row>
    <row r="6" spans="1:3" x14ac:dyDescent="0.2">
      <c r="A6" s="71" t="s">
        <v>580</v>
      </c>
      <c r="B6" s="32">
        <v>409.24</v>
      </c>
      <c r="C6" s="32" t="s">
        <v>671</v>
      </c>
    </row>
    <row r="7" spans="1:3" x14ac:dyDescent="0.2">
      <c r="A7" s="71" t="s">
        <v>162</v>
      </c>
      <c r="B7" s="32">
        <v>554.17999999999995</v>
      </c>
      <c r="C7" s="32" t="s">
        <v>672</v>
      </c>
    </row>
    <row r="8" spans="1:3" x14ac:dyDescent="0.2">
      <c r="A8" s="40" t="s">
        <v>165</v>
      </c>
      <c r="B8" s="32">
        <v>754.54</v>
      </c>
      <c r="C8" s="32" t="s">
        <v>673</v>
      </c>
    </row>
    <row r="9" spans="1:3" x14ac:dyDescent="0.2">
      <c r="A9" s="14" t="s">
        <v>296</v>
      </c>
      <c r="B9" s="32">
        <v>771.54</v>
      </c>
      <c r="C9" s="32" t="s">
        <v>674</v>
      </c>
    </row>
    <row r="10" spans="1:3" x14ac:dyDescent="0.2">
      <c r="A10" s="71" t="s">
        <v>585</v>
      </c>
      <c r="B10" s="32">
        <v>311.3</v>
      </c>
      <c r="C10" s="32" t="s">
        <v>675</v>
      </c>
    </row>
    <row r="11" spans="1:3" x14ac:dyDescent="0.2">
      <c r="A11" s="71" t="s">
        <v>832</v>
      </c>
      <c r="B11" s="32">
        <v>273.3</v>
      </c>
      <c r="C11" s="32" t="s">
        <v>676</v>
      </c>
    </row>
    <row r="12" spans="1:3" x14ac:dyDescent="0.2">
      <c r="A12" s="55" t="s">
        <v>443</v>
      </c>
      <c r="B12" s="32">
        <v>749.54</v>
      </c>
      <c r="C12" s="32" t="s">
        <v>677</v>
      </c>
    </row>
    <row r="13" spans="1:3" x14ac:dyDescent="0.2">
      <c r="A13" s="3" t="s">
        <v>299</v>
      </c>
      <c r="B13" s="32">
        <v>653.84</v>
      </c>
      <c r="C13" s="32" t="s">
        <v>678</v>
      </c>
    </row>
    <row r="14" spans="1:3" x14ac:dyDescent="0.2">
      <c r="A14" s="71" t="s">
        <v>523</v>
      </c>
      <c r="B14" s="32">
        <v>684.72</v>
      </c>
      <c r="C14" s="32" t="s">
        <v>679</v>
      </c>
    </row>
    <row r="15" spans="1:3" x14ac:dyDescent="0.2">
      <c r="A15" s="3" t="s">
        <v>427</v>
      </c>
      <c r="B15" s="32">
        <v>756.54</v>
      </c>
      <c r="C15" s="32" t="s">
        <v>680</v>
      </c>
    </row>
    <row r="16" spans="1:3" x14ac:dyDescent="0.2">
      <c r="A16" s="55" t="s">
        <v>79</v>
      </c>
      <c r="B16" s="32">
        <v>720.84</v>
      </c>
      <c r="C16" s="32" t="s">
        <v>681</v>
      </c>
    </row>
    <row r="17" spans="1:3" x14ac:dyDescent="0.2">
      <c r="A17" s="71" t="s">
        <v>465</v>
      </c>
      <c r="B17" s="32">
        <v>749.54</v>
      </c>
      <c r="C17" s="32" t="s">
        <v>682</v>
      </c>
    </row>
    <row r="18" spans="1:3" x14ac:dyDescent="0.2">
      <c r="A18" s="55" t="s">
        <v>211</v>
      </c>
      <c r="B18" s="32">
        <v>764.54</v>
      </c>
      <c r="C18" s="32" t="s">
        <v>683</v>
      </c>
    </row>
    <row r="19" spans="1:3" x14ac:dyDescent="0.2">
      <c r="A19" s="71" t="s">
        <v>833</v>
      </c>
      <c r="B19" s="32">
        <v>3.7</v>
      </c>
      <c r="C19" s="32" t="s">
        <v>684</v>
      </c>
    </row>
    <row r="20" spans="1:3" x14ac:dyDescent="0.2">
      <c r="A20" s="3" t="s">
        <v>447</v>
      </c>
      <c r="B20" s="32">
        <v>653.84</v>
      </c>
      <c r="C20" s="32" t="s">
        <v>685</v>
      </c>
    </row>
    <row r="21" spans="1:3" x14ac:dyDescent="0.2">
      <c r="A21" s="55" t="s">
        <v>235</v>
      </c>
      <c r="B21" s="32">
        <v>690.84</v>
      </c>
      <c r="C21" s="32" t="s">
        <v>686</v>
      </c>
    </row>
    <row r="22" spans="1:3" x14ac:dyDescent="0.2">
      <c r="A22" s="71" t="s">
        <v>589</v>
      </c>
      <c r="B22" s="32">
        <v>1209.3599999999999</v>
      </c>
      <c r="C22" s="32" t="s">
        <v>687</v>
      </c>
    </row>
    <row r="23" spans="1:3" x14ac:dyDescent="0.2">
      <c r="A23" s="71" t="s">
        <v>527</v>
      </c>
      <c r="B23" s="32">
        <v>37</v>
      </c>
      <c r="C23" s="32" t="s">
        <v>688</v>
      </c>
    </row>
    <row r="24" spans="1:3" x14ac:dyDescent="0.2">
      <c r="A24" s="14" t="s">
        <v>309</v>
      </c>
      <c r="B24" s="32">
        <v>236.3</v>
      </c>
      <c r="C24" s="32" t="s">
        <v>689</v>
      </c>
    </row>
    <row r="25" spans="1:3" x14ac:dyDescent="0.2">
      <c r="A25" s="3" t="s">
        <v>313</v>
      </c>
      <c r="B25" s="32">
        <v>431.64</v>
      </c>
      <c r="C25" s="32" t="s">
        <v>690</v>
      </c>
    </row>
    <row r="26" spans="1:3" x14ac:dyDescent="0.2">
      <c r="A26" s="40" t="s">
        <v>83</v>
      </c>
      <c r="B26" s="32">
        <v>243</v>
      </c>
      <c r="C26" s="32" t="s">
        <v>691</v>
      </c>
    </row>
    <row r="27" spans="1:3" x14ac:dyDescent="0.2">
      <c r="A27" s="71" t="s">
        <v>6</v>
      </c>
      <c r="B27" s="32">
        <v>659.84</v>
      </c>
      <c r="C27" s="32" t="s">
        <v>692</v>
      </c>
    </row>
    <row r="28" spans="1:3" x14ac:dyDescent="0.2">
      <c r="A28" s="40" t="s">
        <v>170</v>
      </c>
      <c r="B28" s="32">
        <v>749.54</v>
      </c>
      <c r="C28" s="32" t="s">
        <v>693</v>
      </c>
    </row>
    <row r="29" spans="1:3" x14ac:dyDescent="0.2">
      <c r="A29" s="40" t="s">
        <v>215</v>
      </c>
      <c r="B29" s="32">
        <v>468.44</v>
      </c>
      <c r="C29" s="32" t="s">
        <v>694</v>
      </c>
    </row>
    <row r="30" spans="1:3" x14ac:dyDescent="0.2">
      <c r="A30" s="71" t="s">
        <v>530</v>
      </c>
      <c r="B30" s="32">
        <v>561.17999999999995</v>
      </c>
      <c r="C30" s="32" t="s">
        <v>695</v>
      </c>
    </row>
    <row r="31" spans="1:3" x14ac:dyDescent="0.2">
      <c r="A31" s="71" t="s">
        <v>533</v>
      </c>
      <c r="B31" s="32">
        <v>749.54</v>
      </c>
      <c r="C31" s="32" t="s">
        <v>696</v>
      </c>
    </row>
    <row r="32" spans="1:3" x14ac:dyDescent="0.2">
      <c r="A32" s="3" t="s">
        <v>316</v>
      </c>
      <c r="B32" s="32">
        <v>657.54</v>
      </c>
      <c r="C32" s="32" t="s">
        <v>697</v>
      </c>
    </row>
    <row r="33" spans="1:3" x14ac:dyDescent="0.2">
      <c r="A33" s="3" t="s">
        <v>319</v>
      </c>
      <c r="B33" s="32">
        <v>675.84</v>
      </c>
      <c r="C33" s="32" t="s">
        <v>698</v>
      </c>
    </row>
    <row r="34" spans="1:3" x14ac:dyDescent="0.2">
      <c r="A34" s="71" t="s">
        <v>834</v>
      </c>
      <c r="B34" s="32">
        <v>6</v>
      </c>
      <c r="C34" s="32" t="s">
        <v>699</v>
      </c>
    </row>
    <row r="35" spans="1:3" x14ac:dyDescent="0.2">
      <c r="A35" s="3" t="s">
        <v>371</v>
      </c>
      <c r="B35" s="32">
        <v>653.84</v>
      </c>
      <c r="C35" s="32" t="s">
        <v>700</v>
      </c>
    </row>
    <row r="36" spans="1:3" x14ac:dyDescent="0.2">
      <c r="A36" s="40" t="s">
        <v>240</v>
      </c>
      <c r="B36" s="32">
        <v>657.54</v>
      </c>
      <c r="C36" s="32" t="s">
        <v>701</v>
      </c>
    </row>
    <row r="37" spans="1:3" x14ac:dyDescent="0.2">
      <c r="A37" s="3" t="s">
        <v>409</v>
      </c>
      <c r="B37" s="32">
        <v>409.24</v>
      </c>
      <c r="C37" s="32" t="s">
        <v>702</v>
      </c>
    </row>
    <row r="38" spans="1:3" x14ac:dyDescent="0.2">
      <c r="A38" s="40" t="s">
        <v>11</v>
      </c>
      <c r="B38" s="32">
        <v>786.54</v>
      </c>
      <c r="C38" s="32" t="s">
        <v>703</v>
      </c>
    </row>
    <row r="39" spans="1:3" x14ac:dyDescent="0.2">
      <c r="A39" s="3" t="s">
        <v>322</v>
      </c>
      <c r="B39" s="32">
        <v>653.84</v>
      </c>
      <c r="C39" s="32" t="s">
        <v>704</v>
      </c>
    </row>
    <row r="40" spans="1:3" x14ac:dyDescent="0.2">
      <c r="A40" s="3" t="s">
        <v>375</v>
      </c>
      <c r="B40" s="32">
        <v>679.72</v>
      </c>
      <c r="C40" s="32" t="s">
        <v>705</v>
      </c>
    </row>
    <row r="41" spans="1:3" x14ac:dyDescent="0.2">
      <c r="A41" s="40" t="s">
        <v>87</v>
      </c>
      <c r="B41" s="32">
        <v>1143.8</v>
      </c>
      <c r="C41" s="32" t="s">
        <v>706</v>
      </c>
    </row>
    <row r="42" spans="1:3" x14ac:dyDescent="0.2">
      <c r="A42" s="40" t="s">
        <v>90</v>
      </c>
      <c r="B42" s="32">
        <v>67</v>
      </c>
      <c r="C42" s="32" t="s">
        <v>707</v>
      </c>
    </row>
    <row r="43" spans="1:3" x14ac:dyDescent="0.2">
      <c r="A43" s="55" t="s">
        <v>57</v>
      </c>
      <c r="B43" s="32">
        <v>758.54</v>
      </c>
      <c r="C43" s="32" t="s">
        <v>708</v>
      </c>
    </row>
    <row r="44" spans="1:3" x14ac:dyDescent="0.2">
      <c r="A44" s="71" t="s">
        <v>835</v>
      </c>
      <c r="B44" s="32">
        <v>653.84</v>
      </c>
      <c r="C44" s="32" t="s">
        <v>709</v>
      </c>
    </row>
    <row r="45" spans="1:3" x14ac:dyDescent="0.2">
      <c r="A45" s="71" t="s">
        <v>539</v>
      </c>
      <c r="B45" s="32">
        <v>771.54</v>
      </c>
      <c r="C45" s="32" t="s">
        <v>710</v>
      </c>
    </row>
    <row r="46" spans="1:3" x14ac:dyDescent="0.2">
      <c r="A46" s="40" t="s">
        <v>245</v>
      </c>
      <c r="B46" s="32">
        <v>653.84</v>
      </c>
      <c r="C46" s="32" t="s">
        <v>711</v>
      </c>
    </row>
    <row r="47" spans="1:3" x14ac:dyDescent="0.2">
      <c r="A47" s="40" t="s">
        <v>249</v>
      </c>
      <c r="B47" s="32">
        <v>657.54</v>
      </c>
      <c r="C47" s="32" t="s">
        <v>712</v>
      </c>
    </row>
    <row r="48" spans="1:3" x14ac:dyDescent="0.2">
      <c r="A48" s="3" t="s">
        <v>412</v>
      </c>
      <c r="B48" s="32">
        <v>720.84</v>
      </c>
      <c r="C48" s="32" t="s">
        <v>713</v>
      </c>
    </row>
    <row r="49" spans="1:3" x14ac:dyDescent="0.2">
      <c r="A49" s="40" t="s">
        <v>219</v>
      </c>
      <c r="B49" s="32">
        <v>749.54</v>
      </c>
      <c r="C49" s="32" t="s">
        <v>714</v>
      </c>
    </row>
    <row r="50" spans="1:3" x14ac:dyDescent="0.2">
      <c r="A50" s="40" t="s">
        <v>93</v>
      </c>
      <c r="B50" s="32">
        <v>1209.3599999999999</v>
      </c>
      <c r="C50" s="32" t="s">
        <v>715</v>
      </c>
    </row>
    <row r="51" spans="1:3" x14ac:dyDescent="0.2">
      <c r="A51" s="71" t="s">
        <v>542</v>
      </c>
      <c r="B51" s="32">
        <v>653.84</v>
      </c>
      <c r="C51" s="32" t="s">
        <v>716</v>
      </c>
    </row>
    <row r="52" spans="1:3" x14ac:dyDescent="0.2">
      <c r="A52" s="71" t="s">
        <v>96</v>
      </c>
      <c r="B52" s="32">
        <v>659.84</v>
      </c>
      <c r="C52" s="32" t="s">
        <v>717</v>
      </c>
    </row>
    <row r="53" spans="1:3" x14ac:dyDescent="0.2">
      <c r="A53" s="40" t="s">
        <v>16</v>
      </c>
      <c r="B53" s="32">
        <v>668.84</v>
      </c>
      <c r="C53" s="32" t="s">
        <v>718</v>
      </c>
    </row>
    <row r="54" spans="1:3" x14ac:dyDescent="0.2">
      <c r="A54" s="40" t="s">
        <v>223</v>
      </c>
      <c r="B54" s="32">
        <v>271.48</v>
      </c>
      <c r="C54" s="32" t="s">
        <v>719</v>
      </c>
    </row>
    <row r="55" spans="1:3" x14ac:dyDescent="0.2">
      <c r="A55" s="14" t="s">
        <v>273</v>
      </c>
      <c r="B55" s="32">
        <v>251</v>
      </c>
      <c r="C55" s="32" t="s">
        <v>720</v>
      </c>
    </row>
    <row r="56" spans="1:3" x14ac:dyDescent="0.2">
      <c r="A56" s="71" t="s">
        <v>826</v>
      </c>
      <c r="B56" s="32">
        <v>4.9000000000000004</v>
      </c>
      <c r="C56" s="32" t="s">
        <v>721</v>
      </c>
    </row>
    <row r="57" spans="1:3" x14ac:dyDescent="0.2">
      <c r="A57" s="3" t="s">
        <v>378</v>
      </c>
      <c r="B57" s="32">
        <v>653.84</v>
      </c>
      <c r="C57" s="32" t="s">
        <v>722</v>
      </c>
    </row>
    <row r="58" spans="1:3" x14ac:dyDescent="0.2">
      <c r="A58" s="55" t="s">
        <v>415</v>
      </c>
      <c r="B58" s="32">
        <v>771.54</v>
      </c>
      <c r="C58" s="32" t="s">
        <v>723</v>
      </c>
    </row>
    <row r="59" spans="1:3" x14ac:dyDescent="0.2">
      <c r="A59" s="71" t="s">
        <v>545</v>
      </c>
      <c r="B59" s="32">
        <v>710.84</v>
      </c>
      <c r="C59" s="32" t="s">
        <v>724</v>
      </c>
    </row>
    <row r="60" spans="1:3" x14ac:dyDescent="0.2">
      <c r="A60" s="40" t="s">
        <v>99</v>
      </c>
      <c r="B60" s="32">
        <v>754.54</v>
      </c>
      <c r="C60" s="32" t="s">
        <v>725</v>
      </c>
    </row>
    <row r="61" spans="1:3" x14ac:dyDescent="0.2">
      <c r="A61" s="40" t="s">
        <v>20</v>
      </c>
      <c r="B61" s="32">
        <v>675.84</v>
      </c>
      <c r="C61" s="32" t="s">
        <v>726</v>
      </c>
    </row>
    <row r="62" spans="1:3" x14ac:dyDescent="0.2">
      <c r="A62" s="3" t="s">
        <v>381</v>
      </c>
      <c r="B62" s="32">
        <v>1194.3599999999999</v>
      </c>
      <c r="C62" s="32" t="s">
        <v>727</v>
      </c>
    </row>
    <row r="63" spans="1:3" x14ac:dyDescent="0.2">
      <c r="A63" s="71" t="s">
        <v>454</v>
      </c>
      <c r="B63" s="32">
        <v>554.17999999999995</v>
      </c>
      <c r="C63" s="32" t="s">
        <v>728</v>
      </c>
    </row>
    <row r="64" spans="1:3" x14ac:dyDescent="0.2">
      <c r="A64" s="40" t="s">
        <v>102</v>
      </c>
      <c r="B64" s="32">
        <v>653.84</v>
      </c>
      <c r="C64" s="32" t="s">
        <v>670</v>
      </c>
    </row>
    <row r="65" spans="1:3" x14ac:dyDescent="0.2">
      <c r="A65" s="3" t="s">
        <v>325</v>
      </c>
      <c r="B65" s="32">
        <v>408.54</v>
      </c>
      <c r="C65" s="32" t="s">
        <v>729</v>
      </c>
    </row>
    <row r="66" spans="1:3" x14ac:dyDescent="0.2">
      <c r="A66" s="71" t="s">
        <v>836</v>
      </c>
      <c r="B66" s="32">
        <v>749.54</v>
      </c>
      <c r="C66" s="32" t="s">
        <v>730</v>
      </c>
    </row>
    <row r="67" spans="1:3" x14ac:dyDescent="0.2">
      <c r="A67" s="3" t="s">
        <v>431</v>
      </c>
      <c r="B67" s="32">
        <v>756.54</v>
      </c>
      <c r="C67" s="32" t="s">
        <v>731</v>
      </c>
    </row>
    <row r="68" spans="1:3" x14ac:dyDescent="0.2">
      <c r="A68" s="40" t="s">
        <v>176</v>
      </c>
      <c r="B68" s="32">
        <v>1203.3599999999999</v>
      </c>
      <c r="C68" s="32" t="s">
        <v>732</v>
      </c>
    </row>
    <row r="69" spans="1:3" x14ac:dyDescent="0.2">
      <c r="A69" s="40" t="s">
        <v>179</v>
      </c>
      <c r="B69" s="32">
        <v>6</v>
      </c>
      <c r="C69" s="32" t="s">
        <v>733</v>
      </c>
    </row>
    <row r="70" spans="1:3" x14ac:dyDescent="0.2">
      <c r="A70" s="71" t="s">
        <v>593</v>
      </c>
      <c r="B70" s="32">
        <v>688.72</v>
      </c>
      <c r="C70" s="32" t="s">
        <v>734</v>
      </c>
    </row>
    <row r="71" spans="1:3" x14ac:dyDescent="0.2">
      <c r="A71" s="71" t="s">
        <v>837</v>
      </c>
      <c r="B71" s="32">
        <v>764.54</v>
      </c>
      <c r="C71" s="32" t="s">
        <v>735</v>
      </c>
    </row>
    <row r="72" spans="1:3" x14ac:dyDescent="0.2">
      <c r="A72" s="71" t="s">
        <v>596</v>
      </c>
      <c r="B72" s="32">
        <v>1216.3599999999999</v>
      </c>
      <c r="C72" s="32" t="s">
        <v>736</v>
      </c>
    </row>
    <row r="73" spans="1:3" x14ac:dyDescent="0.2">
      <c r="A73" s="3" t="s">
        <v>384</v>
      </c>
      <c r="B73" s="32">
        <v>675.84</v>
      </c>
      <c r="C73" s="32" t="s">
        <v>737</v>
      </c>
    </row>
    <row r="74" spans="1:3" x14ac:dyDescent="0.2">
      <c r="A74" s="71" t="s">
        <v>838</v>
      </c>
      <c r="B74" s="32">
        <v>749.54</v>
      </c>
      <c r="C74" s="32" t="s">
        <v>738</v>
      </c>
    </row>
    <row r="75" spans="1:3" x14ac:dyDescent="0.2">
      <c r="A75" s="3" t="s">
        <v>302</v>
      </c>
      <c r="B75" s="32">
        <v>653.84</v>
      </c>
      <c r="C75" s="32" t="s">
        <v>704</v>
      </c>
    </row>
    <row r="76" spans="1:3" x14ac:dyDescent="0.2">
      <c r="A76" s="3" t="s">
        <v>331</v>
      </c>
      <c r="B76" s="32">
        <v>0.6</v>
      </c>
      <c r="C76" s="32" t="s">
        <v>739</v>
      </c>
    </row>
    <row r="77" spans="1:3" x14ac:dyDescent="0.2">
      <c r="A77" s="71" t="s">
        <v>827</v>
      </c>
      <c r="B77" s="32">
        <v>691.34</v>
      </c>
      <c r="C77" s="32" t="s">
        <v>740</v>
      </c>
    </row>
    <row r="78" spans="1:3" x14ac:dyDescent="0.2">
      <c r="A78" s="3" t="s">
        <v>335</v>
      </c>
      <c r="B78" s="32">
        <v>477.44</v>
      </c>
      <c r="C78" s="32" t="s">
        <v>741</v>
      </c>
    </row>
    <row r="79" spans="1:3" x14ac:dyDescent="0.2">
      <c r="A79" s="40" t="s">
        <v>252</v>
      </c>
      <c r="B79" s="32">
        <v>771.54</v>
      </c>
      <c r="C79" s="32" t="s">
        <v>742</v>
      </c>
    </row>
    <row r="80" spans="1:3" x14ac:dyDescent="0.2">
      <c r="A80" s="3" t="s">
        <v>256</v>
      </c>
      <c r="B80" s="32">
        <v>720.84</v>
      </c>
      <c r="C80" s="32" t="s">
        <v>743</v>
      </c>
    </row>
    <row r="81" spans="1:3" x14ac:dyDescent="0.2">
      <c r="A81" s="3" t="s">
        <v>339</v>
      </c>
      <c r="B81" s="32">
        <v>1200.3599999999999</v>
      </c>
      <c r="C81" s="32" t="s">
        <v>744</v>
      </c>
    </row>
    <row r="82" spans="1:3" x14ac:dyDescent="0.2">
      <c r="A82" s="40" t="s">
        <v>64</v>
      </c>
      <c r="B82" s="32">
        <v>771.54</v>
      </c>
      <c r="C82" s="32" t="s">
        <v>745</v>
      </c>
    </row>
    <row r="83" spans="1:3" x14ac:dyDescent="0.2">
      <c r="A83" s="3" t="s">
        <v>342</v>
      </c>
      <c r="B83" s="32">
        <v>668.84</v>
      </c>
      <c r="C83" s="32" t="s">
        <v>746</v>
      </c>
    </row>
    <row r="84" spans="1:3" x14ac:dyDescent="0.2">
      <c r="A84" s="40" t="s">
        <v>150</v>
      </c>
      <c r="B84" s="32">
        <v>656.04</v>
      </c>
      <c r="C84" s="32" t="s">
        <v>747</v>
      </c>
    </row>
    <row r="85" spans="1:3" x14ac:dyDescent="0.2">
      <c r="A85" s="40" t="s">
        <v>227</v>
      </c>
      <c r="B85" s="32">
        <v>413.54</v>
      </c>
      <c r="C85" s="32" t="s">
        <v>748</v>
      </c>
    </row>
    <row r="86" spans="1:3" x14ac:dyDescent="0.2">
      <c r="A86" s="3" t="s">
        <v>345</v>
      </c>
      <c r="B86" s="32">
        <v>749.54</v>
      </c>
      <c r="C86" s="32" t="s">
        <v>749</v>
      </c>
    </row>
    <row r="87" spans="1:3" x14ac:dyDescent="0.2">
      <c r="A87" s="40" t="s">
        <v>182</v>
      </c>
      <c r="B87" s="32">
        <v>656.04</v>
      </c>
      <c r="C87" s="32" t="s">
        <v>750</v>
      </c>
    </row>
    <row r="88" spans="1:3" x14ac:dyDescent="0.2">
      <c r="A88" s="40" t="s">
        <v>109</v>
      </c>
      <c r="B88" s="32">
        <v>336.3</v>
      </c>
      <c r="C88" s="32" t="s">
        <v>751</v>
      </c>
    </row>
    <row r="89" spans="1:3" x14ac:dyDescent="0.2">
      <c r="A89" s="40" t="s">
        <v>185</v>
      </c>
      <c r="B89" s="32">
        <v>786.54</v>
      </c>
      <c r="C89" s="32" t="s">
        <v>752</v>
      </c>
    </row>
    <row r="90" spans="1:3" x14ac:dyDescent="0.2">
      <c r="A90" s="3" t="s">
        <v>260</v>
      </c>
      <c r="B90" s="32">
        <v>685.72</v>
      </c>
      <c r="C90" s="32" t="s">
        <v>753</v>
      </c>
    </row>
    <row r="91" spans="1:3" x14ac:dyDescent="0.2">
      <c r="A91" s="40" t="s">
        <v>112</v>
      </c>
      <c r="B91" s="32">
        <v>754.54</v>
      </c>
      <c r="C91" s="32" t="s">
        <v>754</v>
      </c>
    </row>
    <row r="92" spans="1:3" x14ac:dyDescent="0.2">
      <c r="A92" s="71" t="s">
        <v>548</v>
      </c>
      <c r="B92" s="32">
        <v>15</v>
      </c>
      <c r="C92" s="32" t="s">
        <v>755</v>
      </c>
    </row>
    <row r="93" spans="1:3" x14ac:dyDescent="0.2">
      <c r="A93" s="71" t="s">
        <v>839</v>
      </c>
      <c r="B93" s="32">
        <v>771.54</v>
      </c>
      <c r="C93" s="32" t="s">
        <v>756</v>
      </c>
    </row>
    <row r="94" spans="1:3" x14ac:dyDescent="0.2">
      <c r="A94" s="40" t="s">
        <v>27</v>
      </c>
      <c r="B94" s="32">
        <v>653.84</v>
      </c>
      <c r="C94" s="32" t="s">
        <v>757</v>
      </c>
    </row>
    <row r="95" spans="1:3" x14ac:dyDescent="0.2">
      <c r="A95" s="3" t="s">
        <v>348</v>
      </c>
      <c r="B95" s="32">
        <v>659.2</v>
      </c>
      <c r="C95" s="32" t="s">
        <v>758</v>
      </c>
    </row>
    <row r="96" spans="1:3" x14ac:dyDescent="0.2">
      <c r="A96" s="3" t="s">
        <v>387</v>
      </c>
      <c r="B96" s="32">
        <v>675.84</v>
      </c>
      <c r="C96" s="32" t="s">
        <v>759</v>
      </c>
    </row>
    <row r="97" spans="1:3" x14ac:dyDescent="0.2">
      <c r="A97" s="40" t="s">
        <v>31</v>
      </c>
      <c r="B97" s="32">
        <v>756.54</v>
      </c>
      <c r="C97" s="32" t="s">
        <v>760</v>
      </c>
    </row>
    <row r="98" spans="1:3" x14ac:dyDescent="0.2">
      <c r="A98" s="40" t="s">
        <v>188</v>
      </c>
      <c r="B98" s="32">
        <v>690.84</v>
      </c>
      <c r="C98" s="32" t="s">
        <v>761</v>
      </c>
    </row>
    <row r="99" spans="1:3" x14ac:dyDescent="0.2">
      <c r="A99" s="71" t="s">
        <v>840</v>
      </c>
      <c r="B99" s="32">
        <v>531.64</v>
      </c>
      <c r="C99" s="32" t="s">
        <v>762</v>
      </c>
    </row>
    <row r="100" spans="1:3" x14ac:dyDescent="0.2">
      <c r="A100" s="71" t="s">
        <v>191</v>
      </c>
      <c r="B100" s="32">
        <v>720.84</v>
      </c>
      <c r="C100" s="32" t="s">
        <v>763</v>
      </c>
    </row>
    <row r="101" spans="1:3" x14ac:dyDescent="0.2">
      <c r="A101" s="3" t="s">
        <v>390</v>
      </c>
      <c r="B101" s="32">
        <v>675.84</v>
      </c>
      <c r="C101" s="32" t="s">
        <v>764</v>
      </c>
    </row>
    <row r="102" spans="1:3" x14ac:dyDescent="0.2">
      <c r="A102" s="71" t="s">
        <v>841</v>
      </c>
      <c r="B102" s="32">
        <v>771.54</v>
      </c>
      <c r="C102" s="32" t="s">
        <v>765</v>
      </c>
    </row>
    <row r="103" spans="1:3" x14ac:dyDescent="0.2">
      <c r="A103" s="40" t="s">
        <v>68</v>
      </c>
      <c r="B103" s="32">
        <v>662.84</v>
      </c>
      <c r="C103" s="32" t="s">
        <v>766</v>
      </c>
    </row>
    <row r="104" spans="1:3" x14ac:dyDescent="0.2">
      <c r="A104" s="40" t="s">
        <v>34</v>
      </c>
      <c r="B104" s="32">
        <v>764.54</v>
      </c>
      <c r="C104" s="32" t="s">
        <v>767</v>
      </c>
    </row>
    <row r="105" spans="1:3" x14ac:dyDescent="0.2">
      <c r="A105" s="71" t="s">
        <v>551</v>
      </c>
      <c r="B105" s="32">
        <v>413.54</v>
      </c>
      <c r="C105" s="32" t="s">
        <v>768</v>
      </c>
    </row>
    <row r="106" spans="1:3" x14ac:dyDescent="0.2">
      <c r="A106" s="55" t="s">
        <v>73</v>
      </c>
      <c r="B106" s="32">
        <v>690.84</v>
      </c>
      <c r="C106" s="32" t="s">
        <v>686</v>
      </c>
    </row>
    <row r="107" spans="1:3" x14ac:dyDescent="0.2">
      <c r="A107" s="71" t="s">
        <v>600</v>
      </c>
      <c r="B107" s="32">
        <v>658.84</v>
      </c>
      <c r="C107" s="32" t="s">
        <v>769</v>
      </c>
    </row>
    <row r="108" spans="1:3" x14ac:dyDescent="0.2">
      <c r="A108" s="3" t="s">
        <v>351</v>
      </c>
      <c r="B108" s="32">
        <v>660.84</v>
      </c>
      <c r="C108" s="32" t="s">
        <v>770</v>
      </c>
    </row>
    <row r="109" spans="1:3" x14ac:dyDescent="0.2">
      <c r="A109" s="3" t="s">
        <v>278</v>
      </c>
      <c r="B109" s="32">
        <v>675.84</v>
      </c>
      <c r="C109" s="32" t="s">
        <v>771</v>
      </c>
    </row>
    <row r="110" spans="1:3" x14ac:dyDescent="0.2">
      <c r="A110" s="3" t="s">
        <v>354</v>
      </c>
      <c r="B110" s="32">
        <v>1150.8</v>
      </c>
      <c r="C110" s="32" t="s">
        <v>772</v>
      </c>
    </row>
    <row r="111" spans="1:3" x14ac:dyDescent="0.2">
      <c r="A111" s="40" t="s">
        <v>200</v>
      </c>
      <c r="B111" s="32">
        <v>668.84</v>
      </c>
      <c r="C111" s="32" t="s">
        <v>773</v>
      </c>
    </row>
    <row r="112" spans="1:3" x14ac:dyDescent="0.2">
      <c r="A112" s="3" t="s">
        <v>283</v>
      </c>
      <c r="B112" s="32">
        <v>653.84</v>
      </c>
      <c r="C112" s="32" t="s">
        <v>709</v>
      </c>
    </row>
    <row r="113" spans="1:3" x14ac:dyDescent="0.2">
      <c r="A113" s="3" t="s">
        <v>393</v>
      </c>
      <c r="B113" s="32">
        <v>660.84</v>
      </c>
      <c r="C113" s="32" t="s">
        <v>774</v>
      </c>
    </row>
    <row r="114" spans="1:3" x14ac:dyDescent="0.2">
      <c r="A114" s="72" t="s">
        <v>119</v>
      </c>
      <c r="B114" s="32">
        <v>764.54</v>
      </c>
      <c r="C114" s="32" t="s">
        <v>775</v>
      </c>
    </row>
    <row r="115" spans="1:3" x14ac:dyDescent="0.2">
      <c r="A115" s="40" t="s">
        <v>230</v>
      </c>
      <c r="B115" s="32">
        <v>660.84</v>
      </c>
      <c r="C115" s="32" t="s">
        <v>776</v>
      </c>
    </row>
    <row r="116" spans="1:3" x14ac:dyDescent="0.2">
      <c r="A116" s="71" t="s">
        <v>842</v>
      </c>
      <c r="B116" s="32">
        <v>786.54</v>
      </c>
      <c r="C116" s="32" t="s">
        <v>777</v>
      </c>
    </row>
    <row r="117" spans="1:3" x14ac:dyDescent="0.2">
      <c r="A117" s="40" t="s">
        <v>37</v>
      </c>
      <c r="B117" s="32">
        <v>415.54</v>
      </c>
      <c r="C117" s="32" t="s">
        <v>778</v>
      </c>
    </row>
    <row r="118" spans="1:3" x14ac:dyDescent="0.2">
      <c r="A118" s="71" t="s">
        <v>461</v>
      </c>
      <c r="B118" s="32">
        <v>1209.3599999999999</v>
      </c>
      <c r="C118" s="32" t="s">
        <v>779</v>
      </c>
    </row>
    <row r="119" spans="1:3" x14ac:dyDescent="0.2">
      <c r="A119" s="3" t="s">
        <v>396</v>
      </c>
      <c r="B119" s="32">
        <v>236.3</v>
      </c>
      <c r="C119" s="32" t="s">
        <v>780</v>
      </c>
    </row>
    <row r="120" spans="1:3" x14ac:dyDescent="0.2">
      <c r="A120" s="40" t="s">
        <v>41</v>
      </c>
      <c r="B120" s="32">
        <v>764.54</v>
      </c>
      <c r="C120" s="32" t="s">
        <v>781</v>
      </c>
    </row>
    <row r="121" spans="1:3" x14ac:dyDescent="0.2">
      <c r="A121" s="71" t="s">
        <v>603</v>
      </c>
      <c r="B121" s="32">
        <v>710.84</v>
      </c>
      <c r="C121" s="32" t="s">
        <v>724</v>
      </c>
    </row>
    <row r="122" spans="1:3" x14ac:dyDescent="0.2">
      <c r="A122" s="40" t="s">
        <v>45</v>
      </c>
      <c r="B122" s="32">
        <v>690.84</v>
      </c>
      <c r="C122" s="32" t="s">
        <v>782</v>
      </c>
    </row>
    <row r="123" spans="1:3" x14ac:dyDescent="0.2">
      <c r="A123" s="40" t="s">
        <v>156</v>
      </c>
      <c r="B123" s="32">
        <v>1194.3599999999999</v>
      </c>
      <c r="C123" s="32" t="s">
        <v>783</v>
      </c>
    </row>
    <row r="124" spans="1:3" x14ac:dyDescent="0.2">
      <c r="A124" s="3" t="s">
        <v>264</v>
      </c>
      <c r="B124" s="32">
        <v>690.84</v>
      </c>
      <c r="C124" s="32" t="s">
        <v>784</v>
      </c>
    </row>
    <row r="125" spans="1:3" x14ac:dyDescent="0.2">
      <c r="A125" s="71" t="s">
        <v>843</v>
      </c>
      <c r="B125" s="32">
        <v>37</v>
      </c>
      <c r="C125" s="32" t="s">
        <v>688</v>
      </c>
    </row>
    <row r="126" spans="1:3" x14ac:dyDescent="0.2">
      <c r="A126" s="71" t="s">
        <v>571</v>
      </c>
      <c r="B126" s="32">
        <v>251.8</v>
      </c>
      <c r="C126" s="32" t="s">
        <v>785</v>
      </c>
    </row>
    <row r="127" spans="1:3" x14ac:dyDescent="0.2">
      <c r="A127" s="55" t="s">
        <v>76</v>
      </c>
      <c r="B127" s="32">
        <v>710.84</v>
      </c>
      <c r="C127" s="32" t="s">
        <v>786</v>
      </c>
    </row>
    <row r="128" spans="1:3" x14ac:dyDescent="0.2">
      <c r="A128" s="40" t="s">
        <v>126</v>
      </c>
      <c r="B128" s="32">
        <v>749.54</v>
      </c>
      <c r="C128" s="32" t="s">
        <v>787</v>
      </c>
    </row>
    <row r="129" spans="1:3" x14ac:dyDescent="0.2">
      <c r="A129" s="3" t="s">
        <v>435</v>
      </c>
      <c r="B129" s="32">
        <v>37</v>
      </c>
      <c r="C129" s="32" t="s">
        <v>788</v>
      </c>
    </row>
    <row r="130" spans="1:3" x14ac:dyDescent="0.2">
      <c r="A130" s="3" t="s">
        <v>360</v>
      </c>
      <c r="B130" s="32">
        <v>749.54</v>
      </c>
      <c r="C130" s="32" t="s">
        <v>677</v>
      </c>
    </row>
    <row r="131" spans="1:3" x14ac:dyDescent="0.2">
      <c r="A131" s="40" t="s">
        <v>203</v>
      </c>
      <c r="B131" s="32">
        <v>751.04</v>
      </c>
      <c r="C131" s="32" t="s">
        <v>789</v>
      </c>
    </row>
    <row r="132" spans="1:3" x14ac:dyDescent="0.2">
      <c r="A132" s="71" t="s">
        <v>473</v>
      </c>
      <c r="B132" s="32">
        <v>675.84</v>
      </c>
      <c r="C132" s="32" t="s">
        <v>771</v>
      </c>
    </row>
    <row r="133" spans="1:3" x14ac:dyDescent="0.2">
      <c r="A133" s="71" t="s">
        <v>557</v>
      </c>
      <c r="B133" s="32">
        <v>261.3</v>
      </c>
      <c r="C133" s="32" t="s">
        <v>790</v>
      </c>
    </row>
    <row r="134" spans="1:3" x14ac:dyDescent="0.2">
      <c r="A134" s="40" t="s">
        <v>131</v>
      </c>
      <c r="B134" s="32">
        <v>654.54</v>
      </c>
      <c r="C134" s="32" t="s">
        <v>791</v>
      </c>
    </row>
    <row r="135" spans="1:3" x14ac:dyDescent="0.2">
      <c r="A135" s="3" t="s">
        <v>419</v>
      </c>
      <c r="B135" s="32">
        <v>7</v>
      </c>
      <c r="C135" s="32" t="s">
        <v>792</v>
      </c>
    </row>
    <row r="136" spans="1:3" x14ac:dyDescent="0.2">
      <c r="A136" s="71" t="s">
        <v>515</v>
      </c>
      <c r="B136" s="32">
        <v>1203.3599999999999</v>
      </c>
      <c r="C136" s="32" t="s">
        <v>793</v>
      </c>
    </row>
    <row r="137" spans="1:3" x14ac:dyDescent="0.2">
      <c r="A137" s="71" t="s">
        <v>49</v>
      </c>
      <c r="B137" s="32">
        <v>236.3</v>
      </c>
      <c r="C137" s="32" t="s">
        <v>794</v>
      </c>
    </row>
    <row r="138" spans="1:3" x14ac:dyDescent="0.2">
      <c r="A138" s="71" t="s">
        <v>846</v>
      </c>
      <c r="B138" s="32">
        <v>781.64</v>
      </c>
      <c r="C138" s="32" t="s">
        <v>795</v>
      </c>
    </row>
    <row r="139" spans="1:3" x14ac:dyDescent="0.2">
      <c r="A139" s="40" t="s">
        <v>133</v>
      </c>
      <c r="B139" s="32">
        <v>750.14</v>
      </c>
      <c r="C139" s="32" t="s">
        <v>796</v>
      </c>
    </row>
    <row r="140" spans="1:3" x14ac:dyDescent="0.2">
      <c r="A140" s="71" t="s">
        <v>476</v>
      </c>
      <c r="B140" s="32">
        <v>660.84</v>
      </c>
      <c r="C140" s="32" t="s">
        <v>797</v>
      </c>
    </row>
    <row r="141" spans="1:3" x14ac:dyDescent="0.2">
      <c r="A141" s="40" t="s">
        <v>136</v>
      </c>
      <c r="B141" s="32">
        <v>554.17999999999995</v>
      </c>
      <c r="C141" s="32" t="s">
        <v>798</v>
      </c>
    </row>
    <row r="142" spans="1:3" x14ac:dyDescent="0.2">
      <c r="A142" s="71" t="s">
        <v>560</v>
      </c>
      <c r="B142" s="32">
        <v>658.84</v>
      </c>
      <c r="C142" s="32" t="s">
        <v>799</v>
      </c>
    </row>
    <row r="143" spans="1:3" x14ac:dyDescent="0.2">
      <c r="A143" s="3" t="s">
        <v>268</v>
      </c>
      <c r="B143" s="32">
        <v>1165.8</v>
      </c>
      <c r="C143" s="32" t="s">
        <v>800</v>
      </c>
    </row>
    <row r="144" spans="1:3" x14ac:dyDescent="0.2">
      <c r="A144" s="3" t="s">
        <v>292</v>
      </c>
      <c r="B144" s="32">
        <v>710.84</v>
      </c>
      <c r="C144" s="32" t="s">
        <v>801</v>
      </c>
    </row>
    <row r="145" spans="1:16" x14ac:dyDescent="0.2">
      <c r="A145" s="71" t="s">
        <v>564</v>
      </c>
      <c r="B145" s="32">
        <v>554.17999999999995</v>
      </c>
      <c r="C145" s="32" t="s">
        <v>802</v>
      </c>
    </row>
    <row r="146" spans="1:16" x14ac:dyDescent="0.2">
      <c r="A146" s="3" t="s">
        <v>399</v>
      </c>
      <c r="B146" s="32">
        <v>653.84</v>
      </c>
      <c r="C146" s="32" t="s">
        <v>803</v>
      </c>
    </row>
    <row r="147" spans="1:16" x14ac:dyDescent="0.2">
      <c r="A147" s="71" t="s">
        <v>52</v>
      </c>
      <c r="B147" s="32">
        <v>653.84</v>
      </c>
      <c r="C147" s="32" t="s">
        <v>804</v>
      </c>
    </row>
    <row r="148" spans="1:16" x14ac:dyDescent="0.2">
      <c r="B148" s="32">
        <v>92445.54</v>
      </c>
      <c r="C148" s="32" t="s">
        <v>805</v>
      </c>
    </row>
    <row r="149" spans="1:16" x14ac:dyDescent="0.2">
      <c r="C149" s="32" t="s">
        <v>806</v>
      </c>
    </row>
    <row r="150" spans="1:16" x14ac:dyDescent="0.2">
      <c r="C150" s="32" t="s">
        <v>807</v>
      </c>
    </row>
    <row r="151" spans="1:16" x14ac:dyDescent="0.2">
      <c r="B151" s="32">
        <v>92445.54</v>
      </c>
      <c r="C151" s="32" t="s">
        <v>808</v>
      </c>
    </row>
    <row r="152" spans="1:16" x14ac:dyDescent="0.2">
      <c r="A152" s="14"/>
      <c r="C152" s="32" t="s">
        <v>806</v>
      </c>
    </row>
    <row r="153" spans="1:16" x14ac:dyDescent="0.2">
      <c r="C153" s="32" t="s">
        <v>807</v>
      </c>
    </row>
    <row r="154" spans="1:16" x14ac:dyDescent="0.2">
      <c r="A154" s="40" t="s">
        <v>194</v>
      </c>
      <c r="B154" s="32">
        <v>771.54</v>
      </c>
      <c r="C154" s="32" t="s">
        <v>765</v>
      </c>
    </row>
    <row r="155" spans="1:16" x14ac:dyDescent="0.2">
      <c r="A155" s="71" t="s">
        <v>828</v>
      </c>
      <c r="B155" s="32">
        <v>522.08000000000004</v>
      </c>
      <c r="C155" s="32" t="s">
        <v>809</v>
      </c>
    </row>
    <row r="156" spans="1:16" x14ac:dyDescent="0.2">
      <c r="A156" s="71" t="s">
        <v>828</v>
      </c>
      <c r="B156" s="32">
        <v>554.17999999999995</v>
      </c>
      <c r="C156" s="32" t="s">
        <v>798</v>
      </c>
      <c r="P156" s="32" t="e">
        <f ca="1">'OGB Contributions'!A15MATCH(D156,'OGB Contributions'!A:A,0)</f>
        <v>#NAME?</v>
      </c>
    </row>
    <row r="157" spans="1:16" x14ac:dyDescent="0.2">
      <c r="A157" s="71" t="s">
        <v>828</v>
      </c>
      <c r="B157" s="32">
        <v>554.17999999999995</v>
      </c>
      <c r="C157" s="32" t="s">
        <v>798</v>
      </c>
    </row>
    <row r="158" spans="1:16" x14ac:dyDescent="0.2">
      <c r="A158" s="71" t="s">
        <v>828</v>
      </c>
      <c r="B158" s="32">
        <v>554.17999999999995</v>
      </c>
      <c r="C158" s="32" t="s">
        <v>798</v>
      </c>
    </row>
    <row r="159" spans="1:16" x14ac:dyDescent="0.2">
      <c r="B159" s="32">
        <v>2956.16</v>
      </c>
      <c r="C159" s="32" t="s">
        <v>810</v>
      </c>
    </row>
    <row r="160" spans="1:16" x14ac:dyDescent="0.2">
      <c r="C160" s="32" t="s">
        <v>806</v>
      </c>
    </row>
    <row r="161" spans="1:3" x14ac:dyDescent="0.2">
      <c r="C161" s="32" t="s">
        <v>811</v>
      </c>
    </row>
    <row r="162" spans="1:3" x14ac:dyDescent="0.2">
      <c r="B162" s="32">
        <v>2956.16</v>
      </c>
      <c r="C162" s="32" t="s">
        <v>812</v>
      </c>
    </row>
    <row r="163" spans="1:3" x14ac:dyDescent="0.2">
      <c r="C163" s="32" t="s">
        <v>806</v>
      </c>
    </row>
    <row r="164" spans="1:3" x14ac:dyDescent="0.2">
      <c r="C164" s="32" t="s">
        <v>811</v>
      </c>
    </row>
    <row r="165" spans="1:3" x14ac:dyDescent="0.2">
      <c r="A165" s="71" t="s">
        <v>829</v>
      </c>
      <c r="B165" s="32">
        <v>1409.12</v>
      </c>
      <c r="C165" s="32" t="s">
        <v>813</v>
      </c>
    </row>
    <row r="166" spans="1:3" x14ac:dyDescent="0.2">
      <c r="B166" s="32">
        <v>1409.12</v>
      </c>
      <c r="C166" s="32" t="s">
        <v>814</v>
      </c>
    </row>
    <row r="167" spans="1:3" x14ac:dyDescent="0.2">
      <c r="C167" s="32" t="s">
        <v>806</v>
      </c>
    </row>
    <row r="168" spans="1:3" x14ac:dyDescent="0.2">
      <c r="C168" s="32" t="s">
        <v>815</v>
      </c>
    </row>
    <row r="169" spans="1:3" x14ac:dyDescent="0.2">
      <c r="A169" s="71" t="s">
        <v>830</v>
      </c>
      <c r="B169" s="32">
        <v>1498.78</v>
      </c>
      <c r="C169" s="32" t="s">
        <v>816</v>
      </c>
    </row>
    <row r="170" spans="1:3" x14ac:dyDescent="0.2">
      <c r="B170" s="32">
        <v>1498.78</v>
      </c>
      <c r="C170" s="32" t="s">
        <v>817</v>
      </c>
    </row>
    <row r="171" spans="1:3" x14ac:dyDescent="0.2">
      <c r="C171" s="32" t="s">
        <v>806</v>
      </c>
    </row>
    <row r="172" spans="1:3" x14ac:dyDescent="0.2">
      <c r="C172" s="32" t="s">
        <v>818</v>
      </c>
    </row>
    <row r="173" spans="1:3" x14ac:dyDescent="0.2">
      <c r="A173" s="71" t="s">
        <v>831</v>
      </c>
      <c r="B173" s="32">
        <v>371.09</v>
      </c>
      <c r="C173" s="32" t="s">
        <v>819</v>
      </c>
    </row>
    <row r="174" spans="1:3" x14ac:dyDescent="0.2">
      <c r="B174" s="32">
        <v>371.09</v>
      </c>
      <c r="C174" s="32" t="s">
        <v>820</v>
      </c>
    </row>
    <row r="175" spans="1:3" x14ac:dyDescent="0.2">
      <c r="C175" s="32" t="s">
        <v>806</v>
      </c>
    </row>
    <row r="176" spans="1:3" x14ac:dyDescent="0.2">
      <c r="C176" s="32" t="s">
        <v>821</v>
      </c>
    </row>
    <row r="177" spans="2:3" x14ac:dyDescent="0.2">
      <c r="B177" s="32">
        <v>3278.99</v>
      </c>
      <c r="C177" s="32" t="s">
        <v>822</v>
      </c>
    </row>
    <row r="178" spans="2:3" x14ac:dyDescent="0.2">
      <c r="C178" s="32" t="s">
        <v>806</v>
      </c>
    </row>
    <row r="179" spans="2:3" x14ac:dyDescent="0.2">
      <c r="C179" s="32" t="s">
        <v>823</v>
      </c>
    </row>
    <row r="180" spans="2:3" x14ac:dyDescent="0.2">
      <c r="B180" s="32">
        <v>98680.69</v>
      </c>
      <c r="C180" s="32" t="s">
        <v>824</v>
      </c>
    </row>
    <row r="181" spans="2:3" x14ac:dyDescent="0.2">
      <c r="C181" s="32" t="s">
        <v>806</v>
      </c>
    </row>
    <row r="182" spans="2:3" x14ac:dyDescent="0.2">
      <c r="C182" s="32" t="s">
        <v>825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OGB Contributions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Nakesla Blount</cp:lastModifiedBy>
  <cp:revision>1</cp:revision>
  <cp:lastPrinted>2024-04-29T20:15:46Z</cp:lastPrinted>
  <dcterms:created xsi:type="dcterms:W3CDTF">2024-04-15T15:58:05Z</dcterms:created>
  <dcterms:modified xsi:type="dcterms:W3CDTF">2024-05-23T12:05:27Z</dcterms:modified>
  <cp:category/>
</cp:coreProperties>
</file>